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1.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redits_Guide" sheetId="1" state="visible" r:id="rId2"/>
    <sheet name="Build" sheetId="2" state="visible" r:id="rId3"/>
    <sheet name="Front" sheetId="3" state="visible" r:id="rId4"/>
    <sheet name="Back" sheetId="4" state="visible" r:id="rId5"/>
    <sheet name="personality" sheetId="5" state="visible" r:id="rId6"/>
    <sheet name="spellsE" sheetId="6" state="visible" r:id="rId7"/>
    <sheet name="spellsI" sheetId="7" state="visible" r:id="rId8"/>
    <sheet name="spellsN" sheetId="8" state="visible" r:id="rId9"/>
    <sheet name="spellsW" sheetId="9" state="visible" r:id="rId10"/>
    <sheet name="spellsSh" sheetId="10" state="visible" r:id="rId11"/>
    <sheet name="spellsWS" sheetId="11" state="visible" r:id="rId12"/>
    <sheet name="threadItem" sheetId="12" state="visible" r:id="rId13"/>
    <sheet name="creature" sheetId="13" state="visible" r:id="rId14"/>
    <sheet name="spirit" sheetId="14" state="visible" r:id="rId15"/>
    <sheet name="Tables" sheetId="15" state="visible" r:id="rId16"/>
    <sheet name="Disciplines" sheetId="16" state="visible" r:id="rId17"/>
    <sheet name="Talents" sheetId="17" state="visible" r:id="rId18"/>
    <sheet name="Spells" sheetId="18" state="visible" r:id="rId19"/>
    <sheet name="Modul1" sheetId="19" state="hidden" r:id="rId20"/>
    <sheet name="Modul2" sheetId="20" state="hidden" r:id="rId21"/>
    <sheet name="Modul3" sheetId="21" state="hidden" r:id="rId22"/>
    <sheet name="Arkusz1" sheetId="22" state="visible" r:id="rId23"/>
  </sheets>
  <definedNames>
    <definedName function="false" hidden="false" localSheetId="1" name="_xlnm.Print_Area" vbProcedure="false">Build!$A$1:$AH$519</definedName>
    <definedName function="false" hidden="false" name="ActionDice" vbProcedure="false">Tables!$C$5</definedName>
    <definedName function="false" hidden="false" name="Age" vbProcedure="false">Build!$G$10</definedName>
    <definedName function="false" hidden="false" name="AirSailor1" vbProcedure="false">Disciplines!$C$127:$C$131</definedName>
    <definedName function="false" hidden="false" name="AirSailor2" vbProcedure="false">Disciplines!$C$133:$C$137</definedName>
    <definedName function="false" hidden="false" name="Air_Sailor_Talents1_list" vbProcedure="false">Disciplines!$C$127:$C$132</definedName>
    <definedName function="false" hidden="false" name="Air_Sailor_Talents2_list" vbProcedure="false">Disciplines!$C$127:$C$141</definedName>
    <definedName function="false" hidden="false" name="Air_Sailor_Talents3_list" vbProcedure="false">Disciplines!$C$127:$C$150</definedName>
    <definedName function="false" hidden="false" name="Air_Sailor_Talents4_list" vbProcedure="false">Disciplines!$C$127:$C$159</definedName>
    <definedName function="false" hidden="false" name="Air_Sailor_Talents5_list" vbProcedure="false">Disciplines!$C$127:$C$166</definedName>
    <definedName function="false" hidden="false" name="Appearance" vbProcedure="false">Build!$D$13</definedName>
    <definedName function="false" hidden="false" name="Archer_Bowman_Talents1_list" vbProcedure="false">Disciplines!$F$127:$F$132</definedName>
    <definedName function="false" hidden="false" name="Archer_Bowman_Talents2_list" vbProcedure="false">Disciplines!$F$127:$F$141</definedName>
    <definedName function="false" hidden="false" name="Archer_Bowman_Talents3_list" vbProcedure="false">Disciplines!$F$127:$F$150</definedName>
    <definedName function="false" hidden="false" name="Archer_Bowman_Talents4_list" vbProcedure="false">Disciplines!$F$127:$F$159</definedName>
    <definedName function="false" hidden="false" name="Archer_Bowman_Talents5_list" vbProcedure="false">Disciplines!$F$127:$F$166</definedName>
    <definedName function="false" hidden="false" name="Archer_Crossbowman_Talents1_list" vbProcedure="false">Disciplines!$E$127:$E$132</definedName>
    <definedName function="false" hidden="false" name="Archer_Crossbowman_Talents2_list" vbProcedure="false">Disciplines!$E$127:$E$141</definedName>
    <definedName function="false" hidden="false" name="Archer_Crossbowman_Talents3_list" vbProcedure="false">Disciplines!$E$127:$E$150</definedName>
    <definedName function="false" hidden="false" name="Archer_Crossbowman_Talents4_list" vbProcedure="false">Disciplines!$E$127:$E$159</definedName>
    <definedName function="false" hidden="false" name="Archer_Crossbowman_Talents5_list" vbProcedure="false">Disciplines!$E$127:$E$166</definedName>
    <definedName function="false" hidden="false" name="Archer_Talents1_list" vbProcedure="false">Disciplines!$D$127:$D$132</definedName>
    <definedName function="false" hidden="false" name="Archer_Talents2_list" vbProcedure="false">Disciplines!$D$127:$D$141</definedName>
    <definedName function="false" hidden="false" name="Archer_Talents3_list" vbProcedure="false">Disciplines!$D$127:$D$150</definedName>
    <definedName function="false" hidden="false" name="Archer_Talents4_list" vbProcedure="false">Disciplines!$D$127:$D$159</definedName>
    <definedName function="false" hidden="false" name="Archer_Talents5_list" vbProcedure="false">Disciplines!$D$127:$D$166</definedName>
    <definedName function="false" hidden="false" name="ArmorCostMult" vbProcedure="false">build!#ref!</definedName>
    <definedName function="false" hidden="false" name="ArmorWeightMult" vbProcedure="false">build!#ref!</definedName>
    <definedName function="false" hidden="false" name="Att" vbProcedure="false">Tables!$E$5:$L$14</definedName>
    <definedName function="false" hidden="false" name="attrib" vbProcedure="false">Tables!$E$18</definedName>
    <definedName function="false" hidden="false" name="AttribCarry" vbProcedure="false">Tables!$I$18</definedName>
    <definedName function="false" hidden="false" name="AttribCost" vbProcedure="false">Tables!$Q$18:$R$34</definedName>
    <definedName function="false" hidden="false" name="AttribDeathRating" vbProcedure="false">Tables!$K$18</definedName>
    <definedName function="false" hidden="false" name="AttribDef" vbProcedure="false">Tables!$F$18</definedName>
    <definedName function="false" hidden="false" name="AttribLift" vbProcedure="false">Tables!$J$18</definedName>
    <definedName function="false" hidden="false" name="AttribMoveCombat" vbProcedure="false">Tables!$H$18</definedName>
    <definedName function="false" hidden="false" name="AttribMoveFull" vbProcedure="false">Tables!$G$18</definedName>
    <definedName function="false" hidden="false" name="AttribMysArm" vbProcedure="false">Tables!$O$18</definedName>
    <definedName function="false" hidden="false" name="AttribRecTests" vbProcedure="false">Tables!$N$18</definedName>
    <definedName function="false" hidden="false" name="AttribTable" vbProcedure="false">Tables!$E$19:$O$48</definedName>
    <definedName function="false" hidden="false" name="AttribUncRating" vbProcedure="false">Tables!$L$18</definedName>
    <definedName function="false" hidden="false" name="AttribWoundThr" vbProcedure="false">Tables!$M$18</definedName>
    <definedName function="false" hidden="false" name="AttValue1" vbProcedure="false">Tables!$Q$18:$Q$28</definedName>
    <definedName function="false" hidden="false" name="Beastmaster_Talents1_list" vbProcedure="false">Disciplines!$G$127:$G$132</definedName>
    <definedName function="false" hidden="false" name="Beastmaster_Talents2_list" vbProcedure="false">Disciplines!$G$127:$G$141</definedName>
    <definedName function="false" hidden="false" name="Beastmaster_Talents3_list" vbProcedure="false">Disciplines!$G$127:$G$151</definedName>
    <definedName function="false" hidden="false" name="Beastmaster_Talents4_list" vbProcedure="false">Disciplines!$G$127:$G$159</definedName>
    <definedName function="false" hidden="false" name="Beastmaster_Talents5_list" vbProcedure="false">Disciplines!$G$127:$G$166</definedName>
    <definedName function="false" hidden="false" name="Boatman_Talents1_list" vbProcedure="false">Disciplines!$H$127:$H$132</definedName>
    <definedName function="false" hidden="false" name="Boatman_Talents2_list" vbProcedure="false">Disciplines!$H$127:$H$141</definedName>
    <definedName function="false" hidden="false" name="Boatman_Talents3_list" vbProcedure="false">Disciplines!$H$127:$H$150</definedName>
    <definedName function="false" hidden="false" name="Boatman_Talents4_list" vbProcedure="false">Disciplines!$H$127:$H$159</definedName>
    <definedName function="false" hidden="false" name="Boatman_Talents5_list" vbProcedure="false">Disciplines!$H$127:$H$166</definedName>
    <definedName function="false" hidden="false" name="Cavalryman_Talents1_list" vbProcedure="false">Disciplines!$I$127:$I$132</definedName>
    <definedName function="false" hidden="false" name="Cavalryman_Talents2_list" vbProcedure="false">Disciplines!$I$127:$I$141</definedName>
    <definedName function="false" hidden="false" name="Cavalryman_Talents3_list" vbProcedure="false">Disciplines!$I$127:$I$150</definedName>
    <definedName function="false" hidden="false" name="Cavalryman_Talents4_list" vbProcedure="false">Disciplines!$I$127:$I$159</definedName>
    <definedName function="false" hidden="false" name="Cavalryman_Talents5_list" vbProcedure="false">Disciplines!$I$127:$I$166</definedName>
    <definedName function="false" hidden="false" name="chadie" vbProcedure="false">Build!$M$603</definedName>
    <definedName function="false" hidden="false" name="Charisma" vbProcedure="false">Build!$K$602</definedName>
    <definedName function="false" hidden="false" name="ChaStep" vbProcedure="false">Build!$L$602</definedName>
    <definedName function="false" hidden="false" name="Circle1" vbProcedure="false">Build!$V$8</definedName>
    <definedName function="false" hidden="false" name="Circle2" vbProcedure="false">Build!$V$10</definedName>
    <definedName function="false" hidden="false" name="Confidence_Trickster_Talents2_list" vbProcedure="false">Disciplines!$J$127:$J$141</definedName>
    <definedName function="false" hidden="false" name="Confidence_Trickster_Talents3_list" vbProcedure="false">Disciplines!$J$127:$J$150</definedName>
    <definedName function="false" hidden="false" name="Confidence_Trickster_Talents4_list" vbProcedure="false">Disciplines!$J$127:$J$159</definedName>
    <definedName function="false" hidden="false" name="Confidence_Trickster_Talents5_list" vbProcedure="false">Disciplines!$J$127:$J$166</definedName>
    <definedName function="false" hidden="false" name="CostSkill" vbProcedure="false">Tables!$AA$18</definedName>
    <definedName function="false" hidden="false" name="CostStat" vbProcedure="false">Tables!$R$38</definedName>
    <definedName function="false" hidden="false" name="Cost_13_15" vbProcedure="false">Tables!$X$18</definedName>
    <definedName function="false" hidden="false" name="Cost_1_4" vbProcedure="false">Tables!$U$18</definedName>
    <definedName function="false" hidden="false" name="Cost_5_8" vbProcedure="false">Tables!$V$18</definedName>
    <definedName function="false" hidden="false" name="Cost_9_12" vbProcedure="false">Tables!$W$18</definedName>
    <definedName function="false" hidden="false" name="Delver_Scout_Talents1_list" vbProcedure="false">Disciplines!$K$127:$K$132</definedName>
    <definedName function="false" hidden="false" name="Delver_Scout_Talents2_list" vbProcedure="false">Disciplines!$K$127:$K$141</definedName>
    <definedName function="false" hidden="false" name="Delver_Scout_Talents3_list" vbProcedure="false">Disciplines!$K$127:$K$150</definedName>
    <definedName function="false" hidden="false" name="Delver_Scout_Talents4_list" vbProcedure="false">Disciplines!$K$127:$K$159</definedName>
    <definedName function="false" hidden="false" name="Delver_Scout_Talents5_list" vbProcedure="false">Disciplines!$K$127:$K$166</definedName>
    <definedName function="false" hidden="false" name="dexdie" vbProcedure="false">Build!$M$597</definedName>
    <definedName function="false" hidden="false" name="DexStep" vbProcedure="false">Build!$L$597</definedName>
    <definedName function="false" hidden="false" name="Dexterity" vbProcedure="false">Build!$K$597</definedName>
    <definedName function="false" hidden="false" name="Discipline1" vbProcedure="false">Build!$V$7</definedName>
    <definedName function="false" hidden="false" name="Discipline1_2" vbProcedure="false">Build!$Y$7</definedName>
    <definedName function="false" hidden="false" name="Discipline2" vbProcedure="false">Build!$V$9</definedName>
    <definedName function="false" hidden="false" name="Discipline2_2" vbProcedure="false">Build!$Y$9</definedName>
    <definedName function="false" hidden="false" name="Disciplines1" vbProcedure="false">Tables!$AD$3:$AD$60</definedName>
    <definedName function="false" hidden="false" name="Durability" vbProcedure="false">Build!$B$17:$F$57</definedName>
    <definedName function="false" hidden="false" name="Dwarf" vbProcedure="false">Tables!$E$5</definedName>
    <definedName function="false" hidden="false" name="Elementalist_Talents1_list" vbProcedure="false">Disciplines!$L$127:$L$132</definedName>
    <definedName function="false" hidden="false" name="Elementalist_Talents2_list" vbProcedure="false">Disciplines!$L$127:$L$141</definedName>
    <definedName function="false" hidden="false" name="Elementalist_Talents3_list" vbProcedure="false">Disciplines!$L$127:$L$150</definedName>
    <definedName function="false" hidden="false" name="Elementalist_Talents4_list" vbProcedure="false">Disciplines!$L$127:$L$159</definedName>
    <definedName function="false" hidden="false" name="Elementalist_Talents5_list" vbProcedure="false">Disciplines!$L$127:$L$166</definedName>
    <definedName function="false" hidden="false" name="Elf" vbProcedure="false">Tables!$E$6</definedName>
    <definedName function="false" hidden="false" name="Eyes" vbProcedure="false">Build!$G$12</definedName>
    <definedName function="false" hidden="false" name="Gender" vbProcedure="false">Tables!$AB$3:$AB$4</definedName>
    <definedName function="false" hidden="false" name="Hair" vbProcedure="false">Build!$D$12</definedName>
    <definedName function="false" hidden="false" name="Height" vbProcedure="false">Build!$D$11</definedName>
    <definedName function="false" hidden="false" name="Horror_Stalker_Talents1_list" vbProcedure="false">Disciplines!$M$127:$M$132</definedName>
    <definedName function="false" hidden="false" name="Horror_Stalker_Talents2_list" vbProcedure="false">Disciplines!$M$127:$M$141</definedName>
    <definedName function="false" hidden="false" name="Horror_Stalker_Talents3_list" vbProcedure="false">Disciplines!$M$127:$M$150</definedName>
    <definedName function="false" hidden="false" name="Horror_Stalker_Talents4_list" vbProcedure="false">Disciplines!$M$127:$M$159</definedName>
    <definedName function="false" hidden="false" name="Horror_Stalker_Talents5_list" vbProcedure="false">Disciplines!$M$127:$M$166</definedName>
    <definedName function="false" hidden="false" name="Human" vbProcedure="false">Tables!$E$7</definedName>
    <definedName function="false" hidden="false" name="Illusionist_Talents1_list" vbProcedure="false">Disciplines!$N$127:$N$132</definedName>
    <definedName function="false" hidden="false" name="Illusionist_Talents2_list" vbProcedure="false">Disciplines!$N$127:$N$141</definedName>
    <definedName function="false" hidden="false" name="Illusionist_Talents3_list" vbProcedure="false">Disciplines!$N$127:$N$150</definedName>
    <definedName function="false" hidden="false" name="Illusionist_Talents4_list" vbProcedure="false">Disciplines!$N$127:$N$159</definedName>
    <definedName function="false" hidden="false" name="Illusionist_Talents5_list" vbProcedure="false">Disciplines!$N$127:$N$166</definedName>
    <definedName function="false" hidden="false" name="Improvements" vbProcedure="false">Disciplines!$C$53:AW$77</definedName>
    <definedName function="false" hidden="false" name="INIT" vbProcedure="false">Build!$G$612</definedName>
    <definedName function="false" hidden="false" name="Karma1" vbProcedure="false">Tables!$N$5:$R$13</definedName>
    <definedName function="false" hidden="false" name="KarmaMax" vbProcedure="false">Build!$N$612</definedName>
    <definedName function="false" hidden="false" name="KnackCost" vbProcedure="false">Talents!$G$4:$L$223</definedName>
    <definedName function="false" hidden="false" name="knackfordic" vbProcedure="false">Disciplines!$C$81:$BB$123</definedName>
    <definedName function="false" hidden="false" name="KnackRank" vbProcedure="false">Build!$K$36:$P$62</definedName>
    <definedName function="false" hidden="false" name="Knacks" vbProcedure="false">Disciplines!$C$81:$BB$123</definedName>
    <definedName function="false" hidden="false" name="Knacks1" vbProcedure="false">Build!$AX$617:$AX$681</definedName>
    <definedName function="false" hidden="false" name="KnacksList" vbProcedure="false">Talents!$G$4:$K$200</definedName>
    <definedName function="false" hidden="false" name="Liberator_Talents1_list" vbProcedure="false">Disciplines!$O$127:$O$132</definedName>
    <definedName function="false" hidden="false" name="Liberator_Talents2_list" vbProcedure="false">Disciplines!$O$127:$O$141</definedName>
    <definedName function="false" hidden="false" name="Liberator_Talents3_list" vbProcedure="false">Disciplines!$O$127:$O$150</definedName>
    <definedName function="false" hidden="false" name="Liberator_Talents4_list" vbProcedure="false">Disciplines!$O$127:$O$159</definedName>
    <definedName function="false" hidden="false" name="Liberator_Talents5_list" vbProcedure="false">Disciplines!$O$127:$O$166</definedName>
    <definedName function="false" hidden="false" name="Messenger_Talents1_list" vbProcedure="false">Disciplines!$P$127:$P$132</definedName>
    <definedName function="false" hidden="false" name="Messenger_Talents2_list" vbProcedure="false">Disciplines!$P$127:$P$141</definedName>
    <definedName function="false" hidden="false" name="Messenger_Talents3_list" vbProcedure="false">Disciplines!$P$127:$P$150</definedName>
    <definedName function="false" hidden="false" name="Messenger_Talents4_list" vbProcedure="false">Disciplines!$P$127:$P$159</definedName>
    <definedName function="false" hidden="false" name="Messenger_Talents5_list" vbProcedure="false">Disciplines!$P$127:$P$166</definedName>
    <definedName function="false" hidden="false" name="Move" vbProcedure="false">Build!$M$612</definedName>
    <definedName function="false" hidden="false" name="Move1" vbProcedure="false">Tables!$E$5:$L$13</definedName>
    <definedName function="false" hidden="false" name="MysArm" vbProcedure="false">Build!$L$612</definedName>
    <definedName function="false" hidden="false" name="Name" vbProcedure="false">Build!$D$8</definedName>
    <definedName function="false" hidden="false" name="Nethermancer_Talents1_list" vbProcedure="false">Disciplines!$Q$127:$Q$132</definedName>
    <definedName function="false" hidden="false" name="Nethermancer_Talents2_list" vbProcedure="false">Disciplines!$Q$127:$Q$141</definedName>
    <definedName function="false" hidden="false" name="Nethermancer_Talents3_list" vbProcedure="false">Disciplines!$Q$127:$Q$150</definedName>
    <definedName function="false" hidden="false" name="Nethermancer_Talents4_list" vbProcedure="false">Disciplines!$Q$127:$Q$159</definedName>
    <definedName function="false" hidden="false" name="Nethermancer_Talents5_list" vbProcedure="false">Disciplines!$Q$127:$Q$166</definedName>
    <definedName function="false" hidden="false" name="nspell" vbProcedure="false">Spells!$V$3:$AD$64</definedName>
    <definedName function="false" hidden="false" name="NumArmCost" vbProcedure="false">build!#ref!</definedName>
    <definedName function="false" hidden="false" name="NumArmWeight" vbProcedure="false">build!#ref!</definedName>
    <definedName function="false" hidden="false" name="Number" vbProcedure="false">Tables!$AC$3:$AC$18</definedName>
    <definedName function="false" hidden="false" name="Number2" vbProcedure="false">Tables!$AC$3:$AC$8</definedName>
    <definedName function="false" hidden="false" name="Numberth" vbProcedure="false">Tables!$Y$18</definedName>
    <definedName function="false" hidden="false" name="NumCha" vbProcedure="false">build!#ref!</definedName>
    <definedName function="false" hidden="false" name="NumDex" vbProcedure="false">build!#ref!</definedName>
    <definedName function="false" hidden="false" name="NumKarmaCost" vbProcedure="false">build!#ref!</definedName>
    <definedName function="false" hidden="false" name="NumKarmaDie" vbProcedure="false">build!#ref!</definedName>
    <definedName function="false" hidden="false" name="NumKarmaMax" vbProcedure="false">build!#ref!</definedName>
    <definedName function="false" hidden="false" name="NumKarmaStart" vbProcedure="false">build!#ref!</definedName>
    <definedName function="false" hidden="false" name="NumMove" vbProcedure="false">build!#ref!</definedName>
    <definedName function="false" hidden="false" name="NumName" vbProcedure="false">build!#ref!</definedName>
    <definedName function="false" hidden="false" name="NumPer" vbProcedure="false">build!#ref!</definedName>
    <definedName function="false" hidden="false" name="NumSize1H" vbProcedure="false">build!#ref!</definedName>
    <definedName function="false" hidden="false" name="NumSize2H" vbProcedure="false">build!#ref!</definedName>
    <definedName function="false" hidden="false" name="NumSizeMin" vbProcedure="false">build!#ref!</definedName>
    <definedName function="false" hidden="false" name="NumSizeMissile" vbProcedure="false">build!#ref!</definedName>
    <definedName function="false" hidden="false" name="NumSpec" vbProcedure="false">build!#ref!</definedName>
    <definedName function="false" hidden="false" name="NumStr" vbProcedure="false">build!#ref!</definedName>
    <definedName function="false" hidden="false" name="Numth" vbProcedure="false">Tables!$Z$18</definedName>
    <definedName function="false" hidden="false" name="NumTou" vbProcedure="false">build!#ref!</definedName>
    <definedName function="false" hidden="false" name="NumWil" vbProcedure="false">build!#ref!</definedName>
    <definedName function="false" hidden="false" name="Obsidiman" vbProcedure="false">Tables!$E$8</definedName>
    <definedName function="false" hidden="false" name="Ork" vbProcedure="false">Tables!$E$9</definedName>
    <definedName function="false" hidden="false" name="Outcast_Warrior_Talents1_list" vbProcedure="false">Disciplines!$R$127:$R$132</definedName>
    <definedName function="false" hidden="false" name="Outcast_Warrior_Talents2_list" vbProcedure="false">Disciplines!$R$127:$R$141</definedName>
    <definedName function="false" hidden="false" name="Outcast_Warrior_Talents3_list" vbProcedure="false">Disciplines!$R$127:$R$150</definedName>
    <definedName function="false" hidden="false" name="Outcast_Warrior_Talents4_list" vbProcedure="false">Disciplines!$R$127:$R$159</definedName>
    <definedName function="false" hidden="false" name="OUtcast_Warrior_Talents5_list" vbProcedure="false">Disciplines!$R$127:$R$166</definedName>
    <definedName function="false" hidden="false" name="PD" vbProcedure="false">Build!$D$612</definedName>
    <definedName function="false" hidden="false" name="Perception" vbProcedure="false">Build!$K$600</definedName>
    <definedName function="false" hidden="false" name="perdie" vbProcedure="false">Build!$M$600</definedName>
    <definedName function="false" hidden="false" name="PerStep" vbProcedure="false">Build!$L$600</definedName>
    <definedName function="false" hidden="false" name="PhysArm" vbProcedure="false">Build!$K$612</definedName>
    <definedName function="false" hidden="false" name="Player" vbProcedure="false">Build!$D$7</definedName>
    <definedName function="false" hidden="false" name="Purifier_Talents1_list" vbProcedure="false">Disciplines!$S$127:$S$132</definedName>
    <definedName function="false" hidden="false" name="Purifier_Talents2_list" vbProcedure="false">Disciplines!$S$127:$S$141</definedName>
    <definedName function="false" hidden="false" name="Purifier_Talents3_list" vbProcedure="false">Disciplines!$S$127:$S$150</definedName>
    <definedName function="false" hidden="false" name="Purifier_Talents4_list" vbProcedure="false">Disciplines!$S$127:$S$159</definedName>
    <definedName function="false" hidden="false" name="Purifier_Talents5_list" vbProcedure="false">Disciplines!$S$127:$S$166</definedName>
    <definedName function="false" hidden="false" name="Race" vbProcedure="false">Build!$D$9</definedName>
    <definedName function="false" hidden="false" name="Race1" vbProcedure="false">Tables!$AE$3:$AE$23</definedName>
    <definedName function="false" hidden="false" name="RaceArmorCost" vbProcedure="false">Build!$S$594</definedName>
    <definedName function="false" hidden="false" name="RaceArmorWeight" vbProcedure="false">Build!$R$594</definedName>
    <definedName function="false" hidden="false" name="RaceAtt" vbProcedure="false">Tables!$E$5:$L$13</definedName>
    <definedName function="false" hidden="false" name="RaceAtt1" vbProcedure="false">Tables!$E$5:$L$13</definedName>
    <definedName function="false" hidden="false" name="RaceCha" vbProcedure="false">Build!$J$594</definedName>
    <definedName function="false" hidden="false" name="RaceDex" vbProcedure="false">Build!$E$594</definedName>
    <definedName function="false" hidden="false" name="RaceDie" vbProcedure="false">Build!$N$594</definedName>
    <definedName function="false" hidden="false" name="RaceKarmaCost" vbProcedure="false">Build!$O$594</definedName>
    <definedName function="false" hidden="false" name="RaceKarmaDie" vbProcedure="false">Build!$N$594</definedName>
    <definedName function="false" hidden="false" name="RaceKarmaMax" vbProcedure="false">Build!$Q$594</definedName>
    <definedName function="false" hidden="false" name="RaceKarmaStart" vbProcedure="false">Build!$P$594</definedName>
    <definedName function="false" hidden="false" name="RaceMove" vbProcedure="false">Build!$K$594</definedName>
    <definedName function="false" hidden="false" name="RaceName" vbProcedure="false">Build!$M$594</definedName>
    <definedName function="false" hidden="false" name="RacePer" vbProcedure="false">Build!$H$594</definedName>
    <definedName function="false" hidden="false" name="Races" vbProcedure="false">Tables!$E$5:$E$13</definedName>
    <definedName function="false" hidden="false" name="RaceSpecial" vbProcedure="false">Build!$L$594</definedName>
    <definedName function="false" hidden="false" name="RaceStr" vbProcedure="false">Build!$F$594</definedName>
    <definedName function="false" hidden="false" name="RaceTou" vbProcedure="false">Build!$G$594</definedName>
    <definedName function="false" hidden="false" name="RaceWeapon1H" vbProcedure="false">Build!$T$594</definedName>
    <definedName function="false" hidden="false" name="RaceWeapon2H" vbProcedure="false">Build!$U$594</definedName>
    <definedName function="false" hidden="false" name="RaceWeaponMin" vbProcedure="false">Build!$V$594</definedName>
    <definedName function="false" hidden="false" name="RaceWeaponMissile" vbProcedure="false">Build!$W$594</definedName>
    <definedName function="false" hidden="false" name="RaceWil" vbProcedure="false">Build!$I$594</definedName>
    <definedName function="false" hidden="false" name="RacialHeader" vbProcedure="false">Tables!$F$4:$X$4</definedName>
    <definedName function="false" hidden="false" name="RacialTable" vbProcedure="false">Tables!$E$5:$X$13</definedName>
    <definedName function="false" hidden="false" name="RankCha" vbProcedure="false">Build!$D$68</definedName>
    <definedName function="false" hidden="false" name="RankDex" vbProcedure="false">Build!$D$63</definedName>
    <definedName function="false" hidden="false" name="RankINIT" vbProcedure="false">Build!$D$74</definedName>
    <definedName function="false" hidden="false" name="RankMysArm" vbProcedure="false">Build!$D$72</definedName>
    <definedName function="false" hidden="false" name="RankPD" vbProcedure="false">Build!$D$69</definedName>
    <definedName function="false" hidden="false" name="RankPer" vbProcedure="false">Build!$D$66</definedName>
    <definedName function="false" hidden="false" name="RankRecStep" vbProcedure="false">Build!$D$75</definedName>
    <definedName function="false" hidden="false" name="RankSD" vbProcedure="false">Build!$D$70</definedName>
    <definedName function="false" hidden="false" name="RankSOD" vbProcedure="false">Build!$D$71</definedName>
    <definedName function="false" hidden="false" name="RankStr" vbProcedure="false">Build!$D$64</definedName>
    <definedName function="false" hidden="false" name="RankTou" vbProcedure="false">Build!$D$65</definedName>
    <definedName function="false" hidden="false" name="RankWil" vbProcedure="false">Build!$D$67</definedName>
    <definedName function="false" hidden="false" name="RankWoundThr" vbProcedure="false">Build!$D$73</definedName>
    <definedName function="false" hidden="false" name="REC" vbProcedure="false">Build!$H$612</definedName>
    <definedName function="false" hidden="false" name="RecStep" vbProcedure="false">Build!$I$612</definedName>
    <definedName function="false" hidden="false" name="Scnd_Disc_Cost" vbProcedure="false">Tables!$AB$18</definedName>
    <definedName function="false" hidden="false" name="Scout_Explorer_Talents1_list" vbProcedure="false">Disciplines!$U$127:$U$132</definedName>
    <definedName function="false" hidden="false" name="Scout_Explorer_Talents2_list" vbProcedure="false">Disciplines!$U$127:$U$141</definedName>
    <definedName function="false" hidden="false" name="Scout_Explorer_Talents3_list" vbProcedure="false">Disciplines!$U$127:$U$150</definedName>
    <definedName function="false" hidden="false" name="Scout_Explorer_Talents4_list" vbProcedure="false">Disciplines!$U$127:$U$159</definedName>
    <definedName function="false" hidden="false" name="Scout_Explorer_Talents5_list" vbProcedure="false">Disciplines!$U$127:$U$166</definedName>
    <definedName function="false" hidden="false" name="Scout_Infiltrator_Talents1_list" vbProcedure="false">Disciplines!$V$127:$V$132</definedName>
    <definedName function="false" hidden="false" name="Scout_Infiltrator_Talents2_list" vbProcedure="false">Disciplines!$V$127:$V$141</definedName>
    <definedName function="false" hidden="false" name="Scout_Infiltrator_Talents3_list" vbProcedure="false">Disciplines!$V$127:$V$150</definedName>
    <definedName function="false" hidden="false" name="Scout_Infiltrator_Talents4_list" vbProcedure="false">Disciplines!$V$127:$V$159</definedName>
    <definedName function="false" hidden="false" name="Scout_Infiltrator_Talents5_list" vbProcedure="false">Disciplines!$V$127:$V$166</definedName>
    <definedName function="false" hidden="false" name="Scout_Talents1_list" vbProcedure="false">Disciplines!$T$127:$T$132</definedName>
    <definedName function="false" hidden="false" name="Scout_Talents2_list" vbProcedure="false">Disciplines!$T$127:$T$141</definedName>
    <definedName function="false" hidden="false" name="Scout_Talents3_list" vbProcedure="false">Disciplines!$T$127:$T$150</definedName>
    <definedName function="false" hidden="false" name="Scout_Talents4_list" vbProcedure="false">Disciplines!$T$127:$T$159</definedName>
    <definedName function="false" hidden="false" name="Scout_Talents5_list" vbProcedure="false">Disciplines!$T$127:$T$166</definedName>
    <definedName function="false" hidden="false" name="SD" vbProcedure="false">Build!$E$612</definedName>
    <definedName function="false" hidden="false" name="Sex" vbProcedure="false">Build!$D$10</definedName>
    <definedName function="false" hidden="false" name="Shaman_Talents1_list" vbProcedure="false">Disciplines!$Y$127:$Y$132</definedName>
    <definedName function="false" hidden="false" name="Shaman_Talents2_list" vbProcedure="false">Disciplines!$Y$127:$Y$141</definedName>
    <definedName function="false" hidden="false" name="Shaman_Talents3_list" vbProcedure="false">Disciplines!$Y$127:$Y$150</definedName>
    <definedName function="false" hidden="false" name="Shaman_Talents4_list" vbProcedure="false">Disciplines!$Y$127:$Y$159</definedName>
    <definedName function="false" hidden="false" name="Shaman_Talents5_list" vbProcedure="false">Disciplines!$Y$127:$Y$166</definedName>
    <definedName function="false" hidden="false" name="SkillsTable" vbProcedure="false">Talents!$N$3:$Q$153</definedName>
    <definedName function="false" hidden="false" name="Sky_Raider_Assassin_Talents1_list" vbProcedure="false">Disciplines!$X$127:$X$132</definedName>
    <definedName function="false" hidden="false" name="Sky_Raider_Assassin_Talents2_list" vbProcedure="false">Disciplines!$X$127:$X$141</definedName>
    <definedName function="false" hidden="false" name="Sky_Raider_Assassin_Talents3_list" vbProcedure="false">Disciplines!$X$127:$X$150</definedName>
    <definedName function="false" hidden="false" name="Sky_Raider_Assassin_Talents4_list" vbProcedure="false">Disciplines!$X$127:$X$159</definedName>
    <definedName function="false" hidden="false" name="Sky_Raider_Assassin_Talents5_list" vbProcedure="false">Disciplines!$X$127:$X$166</definedName>
    <definedName function="false" hidden="false" name="Sky_Raider_Talents1_list" vbProcedure="false">Disciplines!$W$127:$W$132</definedName>
    <definedName function="false" hidden="false" name="Sky_Raider_Talents2_list" vbProcedure="false">Disciplines!$W$127:$W$141</definedName>
    <definedName function="false" hidden="false" name="Sky_Raider_Talents3_list" vbProcedure="false">Disciplines!$W$127:$W$150</definedName>
    <definedName function="false" hidden="false" name="Sky_Raider_Talents4_list" vbProcedure="false">Disciplines!$W$127:$W$159</definedName>
    <definedName function="false" hidden="false" name="Sky_Raider_Talents5_list" vbProcedure="false">Disciplines!$W$127:$W$166</definedName>
    <definedName function="false" hidden="false" name="SOD" vbProcedure="false">Build!$F$612</definedName>
    <definedName function="false" hidden="false" name="Songsmith_Talents1_list" vbProcedure="false">Disciplines!$Z$127:$Z$132</definedName>
    <definedName function="false" hidden="false" name="Songsmith_Talents2_list" vbProcedure="false">Disciplines!$Z$127:$Z$141</definedName>
    <definedName function="false" hidden="false" name="Songsmith_Talents3_list" vbProcedure="false">Disciplines!$Z$127:$Z$150</definedName>
    <definedName function="false" hidden="false" name="Songsmith_Talents4_list" vbProcedure="false">Disciplines!$Z$127:$Z$159</definedName>
    <definedName function="false" hidden="false" name="Songsmith_Talents5_list" vbProcedure="false">Disciplines!$Z$127:$Z$166</definedName>
    <definedName function="false" hidden="false" name="SpecCha" vbProcedure="false">Build!$V$77</definedName>
    <definedName function="false" hidden="false" name="SpecDex" vbProcedure="false">Build!$V$72</definedName>
    <definedName function="false" hidden="false" name="SpecInit" vbProcedure="false">Build!$V$67</definedName>
    <definedName function="false" hidden="false" name="SpecMaxKarma" vbProcedure="false">Build!$V$78</definedName>
    <definedName function="false" hidden="false" name="SpecMove" vbProcedure="false">Build!$V$71</definedName>
    <definedName function="false" hidden="false" name="SpecMysArm" vbProcedure="false">Build!$V$66</definedName>
    <definedName function="false" hidden="false" name="SpecPD" vbProcedure="false">Build!$V$62</definedName>
    <definedName function="false" hidden="false" name="SpecPer" vbProcedure="false">Build!$V$75</definedName>
    <definedName function="false" hidden="false" name="SpecPhysArm" vbProcedure="false">Build!$V$65</definedName>
    <definedName function="false" hidden="false" name="SpecRecStep" vbProcedure="false">Build!$V$69</definedName>
    <definedName function="false" hidden="false" name="SpecRecTests" vbProcedure="false">Build!$V$68</definedName>
    <definedName function="false" hidden="false" name="SpecSD" vbProcedure="false">Build!$V$63</definedName>
    <definedName function="false" hidden="false" name="SpecSOD" vbProcedure="false">Build!$V$64</definedName>
    <definedName function="false" hidden="false" name="SpecStr" vbProcedure="false">Build!$V$73</definedName>
    <definedName function="false" hidden="false" name="SpecTou" vbProcedure="false">Build!$V$74</definedName>
    <definedName function="false" hidden="false" name="SpecWil" vbProcedure="false">Build!$V$76</definedName>
    <definedName function="false" hidden="false" name="SpecWoundThr" vbProcedure="false">Build!$V$70</definedName>
    <definedName function="false" hidden="false" name="StatIncCost" vbProcedure="false">Tables!$Q$39:$R$43</definedName>
    <definedName function="false" hidden="false" name="stats" vbProcedure="false">build!#ref!</definedName>
    <definedName function="false" hidden="false" name="StepDice" vbProcedure="false">Tables!$B$5:$C$54</definedName>
    <definedName function="false" hidden="false" name="Strain1" vbProcedure="false">Talents!$G$4:$J$213</definedName>
    <definedName function="false" hidden="false" name="strdie" vbProcedure="false">Build!$M$598</definedName>
    <definedName function="false" hidden="false" name="Strength" vbProcedure="false">Build!$K$598</definedName>
    <definedName function="false" hidden="false" name="StrStep" vbProcedure="false">Build!$L$598</definedName>
    <definedName function="false" hidden="false" name="Swordmaster_Bladesman_Talents1_list" vbProcedure="false">Disciplines!$AB$127:$AB$132</definedName>
    <definedName function="false" hidden="false" name="Swordmaster_Bladesman_Talents2_list" vbProcedure="false">Disciplines!$AB$127:$AB$141</definedName>
    <definedName function="false" hidden="false" name="Swordmaster_Bladesman_Talents3_list" vbProcedure="false">Disciplines!$AB$127:$AB$150</definedName>
    <definedName function="false" hidden="false" name="Swordmaster_Bladesman_Talents4_list" vbProcedure="false">Disciplines!$AB$127:$AB$159</definedName>
    <definedName function="false" hidden="false" name="Swordmaster_Bladesman_Talents5_list" vbProcedure="false">Disciplines!$AB$127:$AB$166</definedName>
    <definedName function="false" hidden="false" name="Swordmaster_Slasher_Talents1_list" vbProcedure="false">Disciplines!$AD$127:$AD$132</definedName>
    <definedName function="false" hidden="false" name="Swordmaster_Slasher_Talents2_list" vbProcedure="false">Disciplines!$AD$127:$AD$141</definedName>
    <definedName function="false" hidden="false" name="Swordmaster_Slasher_Talents3_list" vbProcedure="false">Disciplines!$AD$127:$AD$150</definedName>
    <definedName function="false" hidden="false" name="Swordmaster_Slasher_Talents4_list" vbProcedure="false">Disciplines!$AD$127:$AD$159</definedName>
    <definedName function="false" hidden="false" name="Swordmaster_Slasher_Talents5_list" vbProcedure="false">Disciplines!$AD$127:$AD$166</definedName>
    <definedName function="false" hidden="false" name="Swordmaster_Talents1_list" vbProcedure="false">Disciplines!$AA$127:$AA$132</definedName>
    <definedName function="false" hidden="false" name="Swordmaster_Talents2_list" vbProcedure="false">Disciplines!$AA$127:$AA$141</definedName>
    <definedName function="false" hidden="false" name="Swordmaster_Talents3_list" vbProcedure="false">Disciplines!$AA$127:$AA$150</definedName>
    <definedName function="false" hidden="false" name="Swordmaster_Talents4_list" vbProcedure="false">Disciplines!$AA$127:$AA$159</definedName>
    <definedName function="false" hidden="false" name="Swordmaster_Talents5_list" vbProcedure="false">Disciplines!$AA$127:$AA$166</definedName>
    <definedName function="false" hidden="false" name="Taildancer_Kstulaami_Talents1_list" vbProcedure="false">Disciplines!$AF$127:$AF$132</definedName>
    <definedName function="false" hidden="false" name="Taildancer_Kstulaami_Talents2_list" vbProcedure="false">Disciplines!$AF$127:$AF$141</definedName>
    <definedName function="false" hidden="false" name="Taildancer_Kstulaami_Talents3_list" vbProcedure="false">Disciplines!$AF$127:$AF$150</definedName>
    <definedName function="false" hidden="false" name="Taildancer_Kstulaami_Talents4_list" vbProcedure="false">Disciplines!$AF$127:$AF$159</definedName>
    <definedName function="false" hidden="false" name="Taildancer_Kstulaami_Talents5_list" vbProcedure="false">Disciplines!$AF$127:$AF$166</definedName>
    <definedName function="false" hidden="false" name="Taildancer_Talents1_list" vbProcedure="false">Disciplines!$AE$127:$AE$132</definedName>
    <definedName function="false" hidden="false" name="Taildancer_Talents2_list" vbProcedure="false">Disciplines!$AE$127:$AE$141</definedName>
    <definedName function="false" hidden="false" name="Taildancer_Talents3_list" vbProcedure="false">Disciplines!$AE$127:$AE$150</definedName>
    <definedName function="false" hidden="false" name="Taildancer_Talents4_list" vbProcedure="false">Disciplines!$AE$127:$AE$159</definedName>
    <definedName function="false" hidden="false" name="Taildancer_Talents5_list" vbProcedure="false">Disciplines!$AE$127:$AE$166</definedName>
    <definedName function="false" hidden="false" name="talentfordisc" vbProcedure="false">Disciplines!$C$3:$BB$44</definedName>
    <definedName function="false" hidden="false" name="talents" vbProcedure="false">Talents!$B$3:$E$345</definedName>
    <definedName function="false" hidden="false" name="Talents1" vbProcedure="false">Talents!$B$2:$B$345</definedName>
    <definedName function="false" hidden="false" name="Thief_Assassin_Talents1_list" vbProcedure="false">Disciplines!$AH$127:$AH$132</definedName>
    <definedName function="false" hidden="false" name="Thief_Assassin_Talents2_list" vbProcedure="false">Disciplines!$AH$127:$AH$141</definedName>
    <definedName function="false" hidden="false" name="Thief_Assassin_Talents3_list" vbProcedure="false">Disciplines!$AH$127:$AH$150</definedName>
    <definedName function="false" hidden="false" name="Thief_Assassin_Talents4_list" vbProcedure="false">Disciplines!$AH$127:$AH$159</definedName>
    <definedName function="false" hidden="false" name="Thief_Assassin_Talents5_list" vbProcedure="false">Disciplines!$AH$127:$AH$166</definedName>
    <definedName function="false" hidden="false" name="Thief_Burglar_Talents1_list" vbProcedure="false">Disciplines!$AI$127:$AI$132</definedName>
    <definedName function="false" hidden="false" name="Thief_Burglar_Talents2_list" vbProcedure="false">Disciplines!$AI$127:$AI$141</definedName>
    <definedName function="false" hidden="false" name="Thief_Burglar_Talents3_list" vbProcedure="false">Disciplines!$AI$127:$AI$150</definedName>
    <definedName function="false" hidden="false" name="Thief_Burglar_Talents4_list" vbProcedure="false">Disciplines!$AI$127:$AI$159</definedName>
    <definedName function="false" hidden="false" name="Thief_Burglar_Talents5_list" vbProcedure="false">Disciplines!$AI$127:$AI$166</definedName>
    <definedName function="false" hidden="false" name="Thief_Cutthroat_Talents1_list" vbProcedure="false">Disciplines!$AJ$127:$AJ$132</definedName>
    <definedName function="false" hidden="false" name="Thief_Cutthroat_Talents2_list" vbProcedure="false">Disciplines!$AJ$127:$AJ$141</definedName>
    <definedName function="false" hidden="false" name="Thief_Cutthroat_Talents3_list" vbProcedure="false">Disciplines!$AJ$127:$AJ$150</definedName>
    <definedName function="false" hidden="false" name="Thief_Cutthroat_Talents4_list" vbProcedure="false">Disciplines!$AJ$127:$AJ$159</definedName>
    <definedName function="false" hidden="false" name="Thief_Cutthroat_Talents5_list" vbProcedure="false">Disciplines!$AJ$127:$AJ$166</definedName>
    <definedName function="false" hidden="false" name="Thief_Romancer_Talents1_list" vbProcedure="false">Disciplines!$AK$127:$AK$132</definedName>
    <definedName function="false" hidden="false" name="Thief_Romancer_Talents2_list" vbProcedure="false">Disciplines!$AK$127:$AK$141</definedName>
    <definedName function="false" hidden="false" name="Thief_Romancer_Talents3_list" vbProcedure="false">Disciplines!$AK$127:$AK$150</definedName>
    <definedName function="false" hidden="false" name="Thief_Romancer_Talents4_list" vbProcedure="false">Disciplines!$AK$127:$AK$159</definedName>
    <definedName function="false" hidden="false" name="Thief_Romancer_Talents5_list" vbProcedure="false">Disciplines!$AK$127:$AK$166</definedName>
    <definedName function="false" hidden="false" name="Thief_Slasher_Talents1_list" vbProcedure="false">Disciplines!$AL$127:$AL$132</definedName>
    <definedName function="false" hidden="false" name="Thief_Slasher_Talents2_list" vbProcedure="false">Disciplines!$AL$127:$AL$141</definedName>
    <definedName function="false" hidden="false" name="Thief_Slasher_Talents3_list" vbProcedure="false">Disciplines!$AL$127:$AL$150</definedName>
    <definedName function="false" hidden="false" name="Thief_Slasher_Talents4_list" vbProcedure="false">Disciplines!$AL$127:$AL$159</definedName>
    <definedName function="false" hidden="false" name="Thief_Slasher_Talents5_list" vbProcedure="false">Disciplines!$AL$127:$AL$166</definedName>
    <definedName function="false" hidden="false" name="Thief_Spy_Talents2_list" vbProcedure="false">Disciplines!$AM$127:$AM$141</definedName>
    <definedName function="false" hidden="false" name="Thief_Spy_Talents3_list" vbProcedure="false">Disciplines!$AM$127:$AM$150</definedName>
    <definedName function="false" hidden="false" name="Thief_Spy_Talents4_list" vbProcedure="false">Disciplines!$AM$127:$AM$159</definedName>
    <definedName function="false" hidden="false" name="Thief_Spy_Talents5_list" vbProcedure="false">Disciplines!$AM$127:$AM$166</definedName>
    <definedName function="false" hidden="false" name="Thief_Talents1_list" vbProcedure="false">Disciplines!$AG$127:$AG$132</definedName>
    <definedName function="false" hidden="false" name="Thief_Talents2_list" vbProcedure="false">Disciplines!$AG$127:$AG$141</definedName>
    <definedName function="false" hidden="false" name="Thief_Talents3_list" vbProcedure="false">Disciplines!$AG$127:$AG$150</definedName>
    <definedName function="false" hidden="false" name="Thief_Talents4_list" vbProcedure="false">Disciplines!$AG$127:$AG$159</definedName>
    <definedName function="false" hidden="false" name="Thief_Talents5_list" vbProcedure="false">Disciplines!$AG$127:$AG$166</definedName>
    <definedName function="false" hidden="false" name="Title1" vbProcedure="false">Build!$R$606</definedName>
    <definedName function="false" hidden="false" name="Title2" vbProcedure="false">Build!$R$609</definedName>
    <definedName function="false" hidden="false" name="toudie" vbProcedure="false">Build!$M$599</definedName>
    <definedName function="false" hidden="false" name="Toughness" vbProcedure="false">Build!$K$599</definedName>
    <definedName function="false" hidden="false" name="TouStep" vbProcedure="false">Build!$L$599</definedName>
    <definedName function="false" hidden="false" name="Traveled_Scholar_Spy_Talents1_list" vbProcedure="false">Disciplines!$AO$127:$AO$132</definedName>
    <definedName function="false" hidden="false" name="Traveled_Scholar_Spy_Talents2_list" vbProcedure="false">Disciplines!$AO$127:$AO$141</definedName>
    <definedName function="false" hidden="false" name="Traveled_Scholar_Spy_Talents3_list" vbProcedure="false">Disciplines!$AO$127:$AO$150</definedName>
    <definedName function="false" hidden="false" name="Traveled_Scholar_Spy_Talents4_list" vbProcedure="false">Disciplines!$AO$127:$AO$159</definedName>
    <definedName function="false" hidden="false" name="Traveled_Scholar_Spy_Talents5_list" vbProcedure="false">Disciplines!$AO$127:$AO$166</definedName>
    <definedName function="false" hidden="false" name="Traveled_Scholar_Talents1_list" vbProcedure="false">Disciplines!$AN$127:$AN$132</definedName>
    <definedName function="false" hidden="false" name="Traveled_Scholar_Talents2_list" vbProcedure="false">Disciplines!$AN$127:$AN$141</definedName>
    <definedName function="false" hidden="false" name="Traveled_Scholar_Talents3_list" vbProcedure="false">Disciplines!$AN$127:$AN$150</definedName>
    <definedName function="false" hidden="false" name="Traveled_Scholar_Talents4_list" vbProcedure="false">Disciplines!$AN$127:$AN$159</definedName>
    <definedName function="false" hidden="false" name="Traveled_Scholar_Talents5_list" vbProcedure="false">Disciplines!$AN$160:$AN$166</definedName>
    <definedName function="false" hidden="false" name="Troll" vbProcedure="false">Tables!$E$11</definedName>
    <definedName function="false" hidden="false" name="Troubadour_Mapmaker_Talents1_list" vbProcedure="false">Disciplines!$AQ$127:$AQ$132</definedName>
    <definedName function="false" hidden="false" name="Troubadour_Mapmaker_Talents2_list" vbProcedure="false">Disciplines!$AQ$127:$AQ$141</definedName>
    <definedName function="false" hidden="false" name="Troubadour_Mapmaker_Talents3_list" vbProcedure="false">Disciplines!$AQ$127:$AQ$150</definedName>
    <definedName function="false" hidden="false" name="Troubadour_Mapmaker_Talents4_list" vbProcedure="false">Disciplines!$AQ$127:$AQ$159</definedName>
    <definedName function="false" hidden="false" name="Troubadour_Mapmaker_Talents5_list" vbProcedure="false">Disciplines!$AQ$127:$AQ$166</definedName>
    <definedName function="false" hidden="false" name="Troubadour_Romancer_Talents1_list" vbProcedure="false">Disciplines!$AR$127:$AR$132</definedName>
    <definedName function="false" hidden="false" name="Troubadour_Romancer_Talents2_list" vbProcedure="false">Disciplines!$AR$127:$AR$141</definedName>
    <definedName function="false" hidden="false" name="Troubadour_Romancer_Talents3_list" vbProcedure="false">Disciplines!$AR$127:$AR$150</definedName>
    <definedName function="false" hidden="false" name="Troubadour_Romancer_Talents4_list" vbProcedure="false">Disciplines!$AR$127:$AR$159</definedName>
    <definedName function="false" hidden="false" name="Troubadour_Romancer_Talents5_list" vbProcedure="false">Disciplines!$AR$127:$AR$166</definedName>
    <definedName function="false" hidden="false" name="Troubadour_Sage_Talents1_list" vbProcedure="false">Disciplines!$AS$127:$AS$132</definedName>
    <definedName function="false" hidden="false" name="Troubadour_Sage_Talents2_list" vbProcedure="false">Disciplines!$AS$127:$AS$141</definedName>
    <definedName function="false" hidden="false" name="Troubadour_Sage_Talents3_list" vbProcedure="false">Disciplines!$AS$127:$AS$150</definedName>
    <definedName function="false" hidden="false" name="Troubadour_Sage_Talents4_list" vbProcedure="false">Disciplines!$AS$127:$AS$159</definedName>
    <definedName function="false" hidden="false" name="Troubadour_Sage_Talents5_list" vbProcedure="false">Disciplines!$AS$127:$AS$165</definedName>
    <definedName function="false" hidden="false" name="Troubadour_Talents1_list" vbProcedure="false">Disciplines!$AP$127:$AP$132</definedName>
    <definedName function="false" hidden="false" name="Troubadour_Talents2_list" vbProcedure="false">Disciplines!$AP$127:$AP$141</definedName>
    <definedName function="false" hidden="false" name="Troubadour_Talents3_list" vbProcedure="false">Disciplines!$AP$127:$AP$150</definedName>
    <definedName function="false" hidden="false" name="Troubadour_Talents4_list" vbProcedure="false">Disciplines!$AP$127:$AP$159</definedName>
    <definedName function="false" hidden="false" name="Troubadour_Talents5_list" vbProcedure="false">Disciplines!$AP$127:$AP$166</definedName>
    <definedName function="false" hidden="false" name="Tskrang" vbProcedure="false">Tables!$E$10</definedName>
    <definedName function="false" hidden="false" name="Warrior_Talents1_list" vbProcedure="false">Disciplines!$AT$127:$AT$132</definedName>
    <definedName function="false" hidden="false" name="Warrior_Talents2_list" vbProcedure="false">Disciplines!$AT$127:$AT$141</definedName>
    <definedName function="false" hidden="false" name="Warrior_Talents3_list" vbProcedure="false">Disciplines!$AT$127:$AT$150</definedName>
    <definedName function="false" hidden="false" name="Warrior_Talents4_list" vbProcedure="false">Disciplines!$AT$127:$AT$159</definedName>
    <definedName function="false" hidden="false" name="Warrior_Talents5_list" vbProcedure="false">Disciplines!$AT$127:$AT$166</definedName>
    <definedName function="false" hidden="false" name="Weapons" vbProcedure="false">tables!#ref!</definedName>
    <definedName function="false" hidden="false" name="Weaponsmith_Talents1_list" vbProcedure="false">Disciplines!$AU$127:$AU$132</definedName>
    <definedName function="false" hidden="false" name="Weaponsmith_Talents2_list" vbProcedure="false">Disciplines!$AU$127:$AU$141</definedName>
    <definedName function="false" hidden="false" name="Weaponsmith_Talents3_list" vbProcedure="false">Disciplines!$AU$127:$AU$150</definedName>
    <definedName function="false" hidden="false" name="Weaponsmith_Talents4_list" vbProcedure="false">Disciplines!$AU$127:$AU$159</definedName>
    <definedName function="false" hidden="false" name="Weaponsmith_Talents5_list" vbProcedure="false">Disciplines!$AU$127:$AU$166</definedName>
    <definedName function="false" hidden="false" name="WeapSize1H" vbProcedure="false">build!#ref!</definedName>
    <definedName function="false" hidden="false" name="WeapSize2H" vbProcedure="false">build!#ref!</definedName>
    <definedName function="false" hidden="false" name="WeapSizeMin" vbProcedure="false">build!#ref!</definedName>
    <definedName function="false" hidden="false" name="WeapSizeMissile" vbProcedure="false">build!#ref!</definedName>
    <definedName function="false" hidden="false" name="Weight" vbProcedure="false">Build!$G$11</definedName>
    <definedName function="false" hidden="false" name="wildie" vbProcedure="false">Build!$M$601</definedName>
    <definedName function="false" hidden="false" name="Willpower" vbProcedure="false">Build!$K$601</definedName>
    <definedName function="false" hidden="false" name="WilStep" vbProcedure="false">Build!$L$601</definedName>
    <definedName function="false" hidden="false" name="Windling" vbProcedure="false">Tables!$E$12</definedName>
    <definedName function="false" hidden="false" name="Windmaster_Slasher_Talents1_list" vbProcedure="false">Disciplines!$AX$127:$AX$132</definedName>
    <definedName function="false" hidden="false" name="Windmaster_Slasher_Talents2_list" vbProcedure="false">Disciplines!$AX$127:$AX$141</definedName>
    <definedName function="false" hidden="false" name="Windmaster_Slasher_Talents3_list" vbProcedure="false">Disciplines!$AX$127:$AX$150</definedName>
    <definedName function="false" hidden="false" name="Windmaster_Slasher_Talents4_list" vbProcedure="false">Disciplines!$AX$127:$AX$159</definedName>
    <definedName function="false" hidden="false" name="Windmaster_Slasher_Talents5_list" vbProcedure="false">Disciplines!$AX$127:$AX$166</definedName>
    <definedName function="false" hidden="false" name="Windmaster_Talents1_list" vbProcedure="false">Disciplines!$AW$127:$AW$132</definedName>
    <definedName function="false" hidden="false" name="Windmaster_Talents2_list" vbProcedure="false">Disciplines!$AW$127:$AW$141</definedName>
    <definedName function="false" hidden="false" name="Windmaster_Talents3_list" vbProcedure="false">Disciplines!$AW$127:$AW$150</definedName>
    <definedName function="false" hidden="false" name="Windmaster_Talents4_list" vbProcedure="false">Disciplines!$AW$127:$AW$159</definedName>
    <definedName function="false" hidden="false" name="Windmaster_Talents5_list" vbProcedure="false">Disciplines!$AW$127:$AW$166</definedName>
    <definedName function="false" hidden="false" name="Windscout_Talents1_list" vbProcedure="false">Disciplines!$AY$127:$AY$132</definedName>
    <definedName function="false" hidden="false" name="Windscout_Talents2_list" vbProcedure="false">Disciplines!$AY$127:$AY$141</definedName>
    <definedName function="false" hidden="false" name="Windscout_Talents3_list" vbProcedure="false">Disciplines!$AY$127:$AY$150</definedName>
    <definedName function="false" hidden="false" name="Windscout_Talents4_list" vbProcedure="false">Disciplines!$AY$127:$AY$159</definedName>
    <definedName function="false" hidden="false" name="Windscout_Talents5_list" vbProcedure="false">Disciplines!$AY$127:$AY$166</definedName>
    <definedName function="false" hidden="false" name="Wind_Dancer_Talents1_list" vbProcedure="false">Disciplines!$AV$127:$AV$132</definedName>
    <definedName function="false" hidden="false" name="Wind_Dancer_Talents2_list" vbProcedure="false">Disciplines!$AV$127:$AV$141</definedName>
    <definedName function="false" hidden="false" name="Wind_Dancer_Talents3_list" vbProcedure="false">Disciplines!$AV$127:$AV$150</definedName>
    <definedName function="false" hidden="false" name="Wind_Dancer_Talents4_list" vbProcedure="false">Disciplines!$AV$127:$AV$159</definedName>
    <definedName function="false" hidden="false" name="Wind_Dancer_Talents5_list" vbProcedure="false">Disciplines!$AV$127:$AV$166</definedName>
    <definedName function="false" hidden="false" name="Wizard_Talents1_list" vbProcedure="false">Disciplines!$AZ$127:$AZ$132</definedName>
    <definedName function="false" hidden="false" name="Wizard_Talents2_list" vbProcedure="false">Disciplines!$AZ$127:$AZ$141</definedName>
    <definedName function="false" hidden="false" name="Wizard_Talents3_list" vbProcedure="false">Disciplines!$AZ$127:$AZ$150</definedName>
    <definedName function="false" hidden="false" name="Wizard_Talents4_list" vbProcedure="false">Disciplines!$AZ$127:$AZ$159</definedName>
    <definedName function="false" hidden="false" name="Wizard_Talents5_list" vbProcedure="false">Disciplines!$AZ$127:$AZ$166</definedName>
    <definedName function="false" hidden="false" name="WND" vbProcedure="false">Build!$J$612</definedName>
    <definedName function="false" hidden="false" name="Woodsman_Assassin_Talents1_list" vbProcedure="false">Disciplines!$BB$127:$BB$132</definedName>
    <definedName function="false" hidden="false" name="Woodsman_Assassin_Talents2_list" vbProcedure="false">Disciplines!$BB$127:$BB$141</definedName>
    <definedName function="false" hidden="false" name="Woodsman_Assassin_Talents3_list" vbProcedure="false">Disciplines!$BB$127:$BB$150</definedName>
    <definedName function="false" hidden="false" name="Woodsman_Assassin_Talents4_list" vbProcedure="false">Disciplines!$BB$127:$BB$159</definedName>
    <definedName function="false" hidden="false" name="Woodsman_Assassin_Talents5_list" vbProcedure="false">Disciplines!$BB$127:$BB$166</definedName>
    <definedName function="false" hidden="false" name="Woodsman_Talents1_list" vbProcedure="false">Disciplines!$BA$127:$BA$132</definedName>
    <definedName function="false" hidden="false" name="Woodsman_Talents2_list" vbProcedure="false">Disciplines!$BA$127:$BA$141</definedName>
    <definedName function="false" hidden="false" name="Woodsman_Talents3_list" vbProcedure="false">Disciplines!$BA$127:$BA$150</definedName>
    <definedName function="false" hidden="false" name="Woodsman_Talents4_list" vbProcedure="false">Disciplines!$BA$127:$BA$159</definedName>
    <definedName function="false" hidden="false" name="Woodsman_Talents5_list" vbProcedure="false">Disciplines!$BA$127:$BA$166</definedName>
    <definedName function="false" hidden="false" name="Yes" vbProcedure="false">Tables!$AA$2:$AA$3</definedName>
    <definedName function="false" hidden="false" name="Yes1" vbProcedure="false">Tables!$Z$2:$Z$4</definedName>
    <definedName function="false" hidden="false" name="_Dic1" vbProcedure="false">Build!$C$594</definedName>
    <definedName function="false" hidden="false" name="_Dic2" vbProcedure="false">Build!$D$594</definedName>
    <definedName function="false" hidden="false" localSheetId="0" name="_Toc185140246" vbProcedure="false">Credits_Guide!$A$44</definedName>
    <definedName function="false" hidden="false" localSheetId="0" name="_Toc185140247" vbProcedure="false">Credits_Guide!$A$54</definedName>
    <definedName function="false" hidden="false" localSheetId="0" name="_Toc185140248" vbProcedure="false">Credits_Guide!$A$61</definedName>
    <definedName function="false" hidden="false" localSheetId="0" name="_Toc185140249" vbProcedure="false">Credits_Guide!$A$68</definedName>
    <definedName function="false" hidden="false" localSheetId="0" name="_Toc185140250" vbProcedure="false">Credits_Guide!$A$74</definedName>
    <definedName function="false" hidden="false" localSheetId="0" name="_Toc185140251" vbProcedure="false">Credits_Guide!$A$77</definedName>
    <definedName function="false" hidden="false" localSheetId="0" name="_Toc185140252" vbProcedure="false">Credits_Guide!$A$79</definedName>
    <definedName function="false" hidden="false" localSheetId="0" name="_Toc185140253" vbProcedure="false">Credits_Guide!$A$81</definedName>
    <definedName function="false" hidden="false" localSheetId="0" name="_Toc185140254" vbProcedure="false">Credits_Guide!$A$85</definedName>
    <definedName function="false" hidden="false" localSheetId="0" name="_Toc185140255" vbProcedure="false">Credits_Guide!$A$87</definedName>
    <definedName function="false" hidden="false" localSheetId="0" name="_Toc185140256" vbProcedure="false">Credits_Guide!$A$89</definedName>
    <definedName function="false" hidden="false" localSheetId="0" name="_Toc185140257" vbProcedure="false">Credits_Guide!$A$91</definedName>
    <definedName function="false" hidden="false" localSheetId="0" name="_Toc185140258" vbProcedure="false">Credits_Guide!$A$97</definedName>
    <definedName function="false" hidden="false" localSheetId="0" name="_Toc185140259" vbProcedure="false">Credits_Guide!$A$100</definedName>
    <definedName function="false" hidden="false" localSheetId="0" name="_Toc185140260" vbProcedure="false">Credits_Guide!$A$102</definedName>
    <definedName function="false" hidden="false" localSheetId="0" name="_Toc185140261" vbProcedure="false">Credits_Guide!$A$107</definedName>
    <definedName function="false" hidden="false" localSheetId="0" name="_Toc185140262" vbProcedure="false">Credits_Guide!$A$111</definedName>
    <definedName function="false" hidden="false" localSheetId="0" name="_Toc185140263" vbProcedure="false">Credits_Guide!$A$114</definedName>
    <definedName function="false" hidden="false" localSheetId="0" name="_Toc185140264" vbProcedure="false">Credits_Guide!$A$118</definedName>
    <definedName function="false" hidden="false" localSheetId="0" name="_Toc185140265" vbProcedure="false">Credits_Guide!$A$126</definedName>
    <definedName function="false" hidden="false" localSheetId="0" name="_Toc185140266" vbProcedure="false">Credits_Guide!$A$129</definedName>
    <definedName function="false" hidden="false" localSheetId="0" name="_Toc185140267" vbProcedure="false">Credits_Guide!$A$132</definedName>
    <definedName function="false" hidden="false" localSheetId="0" name="_Toc185140268" vbProcedure="false">Credits_Guide!$A$135</definedName>
    <definedName function="false" hidden="false" localSheetId="0" name="_Toc185140269" vbProcedure="false">Credits_Guide!$A$138</definedName>
    <definedName function="false" hidden="false" localSheetId="0" name="_Toc185140270" vbProcedure="false">Credits_Guide!$A$141</definedName>
    <definedName function="false" hidden="false" localSheetId="0" name="_Toc185140271" vbProcedure="false">Credits_Guide!$A$143</definedName>
    <definedName function="false" hidden="false" localSheetId="0" name="_Toc185140272" vbProcedure="false">Credits_Guide!$A$146</definedName>
    <definedName function="false" hidden="false" localSheetId="0" name="_Toc185140273" vbProcedure="false">Credits_Guide!$A$151</definedName>
    <definedName function="false" hidden="false" localSheetId="0" name="_Toc185140274" vbProcedure="false">Credits_Guide!$A$153</definedName>
    <definedName function="false" hidden="false" localSheetId="0" name="_Toc185140275" vbProcedure="false">Credits_Guide!$A$155</definedName>
    <definedName function="false" hidden="false" localSheetId="0" name="_Toc185140276" vbProcedure="false">Credits_Guide!$A$175</definedName>
    <definedName function="false" hidden="false" localSheetId="0" name="_Toc185140277" vbProcedure="false">Credits_Guide!$A$178</definedName>
    <definedName function="false" hidden="false" localSheetId="0" name="_Toc185140278" vbProcedure="false">Credits_Guide!$A$182</definedName>
    <definedName function="false" hidden="false" localSheetId="1" name="_xlnm._FilterDatabase" vbProcedure="false">Build!$T$507:$T$514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<sst xmlns="http://schemas.openxmlformats.org/spreadsheetml/2006/main" count="14502" uniqueCount="3782">
  <si>
    <t xml:space="preserve">EARTHDAWN CLASSIC CHARACTER SPREADSHEET (v3.0)</t>
  </si>
  <si>
    <t xml:space="preserve">NB: Everything can be edited, but be careful when editing in gray or blue cells.</t>
  </si>
  <si>
    <t xml:space="preserve">Originally created by Jens Clausen, with considerable aid and inspiration from various web-products, especially a similar spreadsheet made by Richard Bax, then Josh Harrison and Mattias Meldert. Conversion to RedBrick Ltd's 3rd edition by Bill Wychulis (Idiaos@aol.com) with debugging help from the Redbrick Forums.  If you find any issues please send them to the email address listed so I can fix it.  Thanks</t>
  </si>
  <si>
    <t xml:space="preserve">This project is an open-source fan work, and is not intended as a challenge to the trademarks or copyrights of FASA, Inc., RedBrick Ltd., or any other entity or individual whose copyrighted or trademarked material may appear within this project.</t>
  </si>
  <si>
    <r>
      <rPr>
        <b val="true"/>
        <u val="single"/>
        <sz val="12"/>
        <rFont val="Times New Roman"/>
        <family val="1"/>
        <charset val="1"/>
      </rPr>
      <t xml:space="preserve">USER'S GUIDE FOR EARTHDAWN 3</t>
    </r>
    <r>
      <rPr>
        <b val="true"/>
        <u val="single"/>
        <vertAlign val="superscript"/>
        <sz val="12"/>
        <rFont val="Times New Roman"/>
        <family val="1"/>
        <charset val="1"/>
      </rPr>
      <t xml:space="preserve">rd</t>
    </r>
    <r>
      <rPr>
        <b val="true"/>
        <u val="single"/>
        <sz val="12"/>
        <rFont val="Times New Roman"/>
        <family val="1"/>
        <charset val="1"/>
      </rPr>
      <t xml:space="preserve">EDITION EXCEL SPREADSHEET</t>
    </r>
  </si>
  <si>
    <t xml:space="preserve">Version 3.0</t>
  </si>
  <si>
    <t xml:space="preserve">I. Version Info</t>
  </si>
  <si>
    <t xml:space="preserve">II. Credits and Legal Info</t>
  </si>
  <si>
    <t xml:space="preserve">III. Introduction</t>
  </si>
  <si>
    <t xml:space="preserve">IV. Entering a Character</t>
  </si>
  <si>
    <t xml:space="preserve">V. Using the Spreadsheet with Talent Options</t>
  </si>
  <si>
    <t xml:space="preserve">VI. Guide to the Build Page</t>
  </si>
  <si>
    <t xml:space="preserve">Personal Information</t>
  </si>
  <si>
    <t xml:space="preserve">Attributes</t>
  </si>
  <si>
    <t xml:space="preserve">Discipline Information</t>
  </si>
  <si>
    <t xml:space="preserve">Earned Legend, Available Legend</t>
  </si>
  <si>
    <t xml:space="preserve">Legend Point Breakdown</t>
  </si>
  <si>
    <t xml:space="preserve">Talent Listings</t>
  </si>
  <si>
    <t xml:space="preserve">Versatility/Other Talents</t>
  </si>
  <si>
    <t xml:space="preserve">Knacks</t>
  </si>
  <si>
    <t xml:space="preserve">Group Threads</t>
  </si>
  <si>
    <t xml:space="preserve">Item Threads</t>
  </si>
  <si>
    <t xml:space="preserve">Additional Increases</t>
  </si>
  <si>
    <t xml:space="preserve">Skills</t>
  </si>
  <si>
    <t xml:space="preserve">Equipment</t>
  </si>
  <si>
    <t xml:space="preserve">Blood Magic</t>
  </si>
  <si>
    <t xml:space="preserve">Money &amp; Valuables</t>
  </si>
  <si>
    <t xml:space="preserve">Magical Treasure</t>
  </si>
  <si>
    <t xml:space="preserve">Personality Quirks, Quirks &amp; Quotes, History &amp; Background, Miscellaneous Notes</t>
  </si>
  <si>
    <t xml:space="preserve">Mount/Animal Companion</t>
  </si>
  <si>
    <t xml:space="preserve">Legend Earned, Legend Spent</t>
  </si>
  <si>
    <t xml:space="preserve">Spells</t>
  </si>
  <si>
    <t xml:space="preserve">Calculations</t>
  </si>
  <si>
    <t xml:space="preserve">VII. Modifying the Data</t>
  </si>
  <si>
    <t xml:space="preserve">Races</t>
  </si>
  <si>
    <t xml:space="preserve">Disciplines</t>
  </si>
  <si>
    <t xml:space="preserve">Talents and Knacks</t>
  </si>
  <si>
    <t xml:space="preserve">VII. Tips</t>
  </si>
  <si>
    <r>
      <rPr>
        <sz val="12"/>
        <rFont val="Times New Roman"/>
        <family val="1"/>
        <charset val="1"/>
      </rPr>
      <t xml:space="preserve">v1.0 – Initial version supports RedBrick Ltd's</t>
    </r>
    <r>
      <rPr>
        <i val="true"/>
        <sz val="12"/>
        <rFont val="Times New Roman"/>
        <family val="1"/>
        <charset val="1"/>
      </rPr>
      <t xml:space="preserve">Earthdawn Player's Compendium</t>
    </r>
    <r>
      <rPr>
        <sz val="12"/>
        <rFont val="Times New Roman"/>
        <family val="1"/>
        <charset val="1"/>
      </rPr>
      <t xml:space="preserve">.</t>
    </r>
  </si>
  <si>
    <r>
      <rPr>
        <sz val="12"/>
        <rFont val="Times New Roman"/>
        <family val="1"/>
        <charset val="1"/>
      </rPr>
      <t xml:space="preserve">v2.0 – Support for Disciplines from RedBrick Ltd's</t>
    </r>
    <r>
      <rPr>
        <i val="true"/>
        <sz val="12"/>
        <rFont val="Times New Roman"/>
        <family val="1"/>
        <charset val="1"/>
      </rPr>
      <t xml:space="preserve">Name-Givers Compendium</t>
    </r>
    <r>
      <rPr>
        <sz val="12"/>
        <rFont val="Times New Roman"/>
        <family val="1"/>
        <charset val="1"/>
      </rPr>
      <t xml:space="preserve">added (excluding the Shaman and Journeyman). Numerous bugs and glitches fixed.</t>
    </r>
  </si>
  <si>
    <t xml:space="preserve">v2.1 – Problem with available talent knacks corrected.</t>
  </si>
  <si>
    <t xml:space="preserve">           Layout of build page changed.</t>
  </si>
  <si>
    <t xml:space="preserve">           User's Guide written.</t>
  </si>
  <si>
    <t xml:space="preserve">           Support for earned vs. spent Legend Points added.</t>
  </si>
  <si>
    <r>
      <rPr>
        <sz val="12"/>
        <rFont val="Times New Roman"/>
        <family val="1"/>
        <charset val="1"/>
      </rPr>
      <t xml:space="preserve">v3.0 – Converted the original sheet to Red Bricks new 3</t>
    </r>
    <r>
      <rPr>
        <vertAlign val="superscript"/>
        <sz val="12"/>
        <rFont val="Times New Roman"/>
        <family val="1"/>
        <charset val="1"/>
      </rPr>
      <t xml:space="preserve">rd</t>
    </r>
    <r>
      <rPr>
        <sz val="12"/>
        <rFont val="Times New Roman"/>
        <family val="1"/>
        <charset val="1"/>
      </rPr>
      <t xml:space="preserve">Edition including all currently material in print through March 2010. (GM, GC, PG, PC, Name Givers)</t>
    </r>
  </si>
  <si>
    <t xml:space="preserve">           User Guide Updated to new version</t>
  </si>
  <si>
    <t xml:space="preserve">For more information on Earthdawn, visit http://www.redbrick-limited.com.</t>
  </si>
  <si>
    <r>
      <rPr>
        <sz val="12"/>
        <rFont val="Times New Roman"/>
        <family val="1"/>
        <charset val="1"/>
      </rPr>
      <t xml:space="preserve">This project is derived from a spreadsheet originally created by Jens Clausen, with considerable aid and inspiration from various other web projects, including one by Richard Bax. Conversion to RedBrick's 3</t>
    </r>
    <r>
      <rPr>
        <vertAlign val="superscript"/>
        <sz val="12"/>
        <rFont val="Times New Roman"/>
        <family val="1"/>
        <charset val="1"/>
      </rPr>
      <t xml:space="preserve">rd</t>
    </r>
    <r>
      <rPr>
        <sz val="12"/>
        <rFont val="Times New Roman"/>
        <family val="1"/>
        <charset val="1"/>
      </rPr>
      <t xml:space="preserve">Edition of Earthdawn, debugging and refinement by William Wychulis.</t>
    </r>
  </si>
  <si>
    <r>
      <rPr>
        <sz val="12"/>
        <rFont val="Times New Roman"/>
        <family val="1"/>
        <charset val="1"/>
      </rPr>
      <t xml:space="preserve">Feedback and bug reports for the revised character spreadsheet can be e-mailed to Bill (Idiaos@aol.com). The latest version of the spreadsheet can be found online at:</t>
    </r>
    <r>
      <rPr>
        <sz val="12"/>
        <color rgb="FF3366FF"/>
        <rFont val="Times New Roman"/>
        <family val="1"/>
        <charset val="1"/>
      </rPr>
      <t xml:space="preserve">http://www.dalesines.com/ED/ED_3ed_character_sheet.xls</t>
    </r>
  </si>
  <si>
    <t xml:space="preserve">This spreadsheet may be freely distributed, modified, and redistributed, so long as the legal disclaimer included on the build page is not removed or modified, save to provide credit to subsequent developers.</t>
  </si>
  <si>
    <t xml:space="preserve">The purpose of this spreadsheet is to create and track characters in the Earthdawn role-playing game. It consists of three page types:</t>
  </si>
  <si>
    <r>
      <rPr>
        <sz val="12"/>
        <rFont val="Symbol"/>
        <family val="1"/>
        <charset val="2"/>
      </rPr>
      <t xml:space="preserve">·</t>
    </r>
    <r>
      <rPr>
        <sz val="7"/>
        <rFont val="Times New Roman"/>
        <family val="1"/>
        <charset val="1"/>
      </rPr>
      <t xml:space="preserve">       </t>
    </r>
    <r>
      <rPr>
        <sz val="12"/>
        <rFont val="Times New Roman"/>
        <family val="1"/>
        <charset val="1"/>
      </rPr>
      <t xml:space="preserve">Front Page (</t>
    </r>
    <r>
      <rPr>
        <b val="true"/>
        <sz val="12"/>
        <rFont val="Times New Roman"/>
        <family val="1"/>
        <charset val="1"/>
      </rPr>
      <t xml:space="preserve">Build</t>
    </r>
    <r>
      <rPr>
        <sz val="12"/>
        <rFont val="Times New Roman"/>
        <family val="1"/>
        <charset val="1"/>
      </rPr>
      <t xml:space="preserve">) – On this page the player or GM enters the relevant information. It includes an area where calculations and other checks are performed to simplify the process of character creation.</t>
    </r>
  </si>
  <si>
    <r>
      <rPr>
        <sz val="12"/>
        <rFont val="Symbol"/>
        <family val="1"/>
        <charset val="2"/>
      </rPr>
      <t xml:space="preserve">·</t>
    </r>
    <r>
      <rPr>
        <sz val="7"/>
        <rFont val="Times New Roman"/>
        <family val="1"/>
        <charset val="1"/>
      </rPr>
      <t xml:space="preserve">       </t>
    </r>
    <r>
      <rPr>
        <sz val="12"/>
        <rFont val="Times New Roman"/>
        <family val="1"/>
        <charset val="1"/>
      </rPr>
      <t xml:space="preserve">Print Pages</t>
    </r>
    <r>
      <rPr>
        <b val="true"/>
        <sz val="12"/>
        <rFont val="Times New Roman"/>
        <family val="1"/>
        <charset val="1"/>
      </rPr>
      <t xml:space="preserve">(Front, Back, personality, Spell Sheets for each Caster Discipline)</t>
    </r>
    <r>
      <rPr>
        <sz val="12"/>
        <rFont val="Times New Roman"/>
        <family val="1"/>
        <charset val="1"/>
      </rPr>
      <t xml:space="preserve">– These pages take the data from the front page and lay it out in a printer-friendly format so that a character sheet can be printed and used at the table.</t>
    </r>
  </si>
  <si>
    <r>
      <rPr>
        <sz val="12"/>
        <rFont val="Symbol"/>
        <family val="1"/>
        <charset val="2"/>
      </rPr>
      <t xml:space="preserve">·</t>
    </r>
    <r>
      <rPr>
        <sz val="7"/>
        <rFont val="Times New Roman"/>
        <family val="1"/>
        <charset val="1"/>
      </rPr>
      <t xml:space="preserve">       </t>
    </r>
    <r>
      <rPr>
        <sz val="12"/>
        <rFont val="Times New Roman"/>
        <family val="1"/>
        <charset val="1"/>
      </rPr>
      <t xml:space="preserve">The threadItem, Creature and Spirit pages can be used to create and print new thread items, creatures and Spirits stats.</t>
    </r>
  </si>
  <si>
    <r>
      <rPr>
        <sz val="12"/>
        <rFont val="Symbol"/>
        <family val="1"/>
        <charset val="2"/>
      </rPr>
      <t xml:space="preserve">·</t>
    </r>
    <r>
      <rPr>
        <sz val="7"/>
        <rFont val="Times New Roman"/>
        <family val="1"/>
        <charset val="1"/>
      </rPr>
      <t xml:space="preserve">       </t>
    </r>
    <r>
      <rPr>
        <sz val="12"/>
        <rFont val="Times New Roman"/>
        <family val="1"/>
        <charset val="1"/>
      </rPr>
      <t xml:space="preserve">Data Pages (</t>
    </r>
    <r>
      <rPr>
        <b val="true"/>
        <sz val="12"/>
        <rFont val="Times New Roman"/>
        <family val="1"/>
        <charset val="1"/>
      </rPr>
      <t xml:space="preserve">Tables</t>
    </r>
    <r>
      <rPr>
        <sz val="12"/>
        <rFont val="Times New Roman"/>
        <family val="1"/>
        <charset val="1"/>
      </rPr>
      <t xml:space="preserve">,</t>
    </r>
    <r>
      <rPr>
        <b val="true"/>
        <sz val="12"/>
        <rFont val="Times New Roman"/>
        <family val="1"/>
        <charset val="1"/>
      </rPr>
      <t xml:space="preserve">Disciplines</t>
    </r>
    <r>
      <rPr>
        <sz val="12"/>
        <rFont val="Times New Roman"/>
        <family val="1"/>
        <charset val="1"/>
      </rPr>
      <t xml:space="preserve">,</t>
    </r>
    <r>
      <rPr>
        <b val="true"/>
        <sz val="12"/>
        <rFont val="Times New Roman"/>
        <family val="1"/>
        <charset val="1"/>
      </rPr>
      <t xml:space="preserve">Talents</t>
    </r>
    <r>
      <rPr>
        <sz val="12"/>
        <rFont val="Times New Roman"/>
        <family val="1"/>
        <charset val="1"/>
      </rPr>
      <t xml:space="preserve">,</t>
    </r>
    <r>
      <rPr>
        <b val="true"/>
        <sz val="12"/>
        <rFont val="Times New Roman"/>
        <family val="1"/>
        <charset val="1"/>
      </rPr>
      <t xml:space="preserve">Spells</t>
    </r>
    <r>
      <rPr>
        <sz val="12"/>
        <rFont val="Times New Roman"/>
        <family val="1"/>
        <charset val="1"/>
      </rPr>
      <t xml:space="preserve">) – The pages contain reference tables of data that allow the spreadsheet to automatically fill in and calculate information about the character. Please do not modify these unless you want to change specific game information.</t>
    </r>
  </si>
  <si>
    <r>
      <rPr>
        <sz val="12"/>
        <rFont val="Times New Roman"/>
        <family val="1"/>
        <charset val="1"/>
      </rPr>
      <t xml:space="preserve">When entering a character into the spreadsheet, all character</t>
    </r>
    <r>
      <rPr>
        <b val="true"/>
        <sz val="12"/>
        <color rgb="FFFF0000"/>
        <rFont val="Times New Roman"/>
        <family val="1"/>
        <charset val="1"/>
      </rPr>
      <t xml:space="preserve">information is entered</t>
    </r>
    <r>
      <rPr>
        <sz val="12"/>
        <rFont val="Times New Roman"/>
        <family val="1"/>
        <charset val="1"/>
      </rPr>
      <t xml:space="preserve">on the</t>
    </r>
    <r>
      <rPr>
        <b val="true"/>
        <sz val="12"/>
        <rFont val="Times New Roman"/>
        <family val="1"/>
        <charset val="1"/>
      </rPr>
      <t xml:space="preserve">Build</t>
    </r>
    <r>
      <rPr>
        <sz val="12"/>
        <rFont val="Times New Roman"/>
        <family val="1"/>
        <charset val="1"/>
      </rPr>
      <t xml:space="preserve">page, in the</t>
    </r>
    <r>
      <rPr>
        <b val="true"/>
        <sz val="12"/>
        <color rgb="FFFF0000"/>
        <rFont val="Times New Roman"/>
        <family val="1"/>
        <charset val="1"/>
      </rPr>
      <t xml:space="preserve">light yellow shaded boxes.</t>
    </r>
    <r>
      <rPr>
        <sz val="12"/>
        <rFont val="Times New Roman"/>
        <family val="1"/>
        <charset val="1"/>
      </rPr>
      <t xml:space="preserve">Any of the cells may be edited, but cells that are shaded grey or blue may have formulas or references that allow proper tracking and adjustment of various character details. Be careful when editing any cells other than those in yellow.</t>
    </r>
  </si>
  <si>
    <r>
      <rPr>
        <sz val="12"/>
        <rFont val="Times New Roman"/>
        <family val="1"/>
        <charset val="1"/>
      </rPr>
      <t xml:space="preserve">The information entered on the</t>
    </r>
    <r>
      <rPr>
        <b val="true"/>
        <sz val="12"/>
        <rFont val="Times New Roman"/>
        <family val="1"/>
        <charset val="1"/>
      </rPr>
      <t xml:space="preserve">Build</t>
    </r>
    <r>
      <rPr>
        <sz val="12"/>
        <rFont val="Times New Roman"/>
        <family val="1"/>
        <charset val="1"/>
      </rPr>
      <t xml:space="preserve">page gets transferred over to the relevant sections on the printable pages. Any adjustments or bonuses that are inherent to the character (based on race, Discipline, or Circle), or that are entered on the</t>
    </r>
    <r>
      <rPr>
        <b val="true"/>
        <sz val="12"/>
        <rFont val="Times New Roman"/>
        <family val="1"/>
        <charset val="1"/>
      </rPr>
      <t xml:space="preserve">Build</t>
    </r>
    <r>
      <rPr>
        <sz val="12"/>
        <rFont val="Times New Roman"/>
        <family val="1"/>
        <charset val="1"/>
      </rPr>
      <t xml:space="preserve">page are taken into account on the printable pages.</t>
    </r>
  </si>
  <si>
    <t xml:space="preserve">The spreadsheet does not prohibit 'illegal' character builds; it does not verify that a chosen Discipline is allowed for the character's race, in some cases it shows that something is disallowed (for example, spending too many points on starting attributes), but it does not prevent overspending or other factors that would make a character not work according to the rules. This allows greater flexibility when it comes to customizing the spreadsheet for use with different house rules.</t>
  </si>
  <si>
    <t xml:space="preserve">After entering the character information, the spreadsheet can be saved under a new file name (the character's Name is recommended) so the character can be saved and updated during the course of the game.</t>
  </si>
  <si>
    <t xml:space="preserve">The new version of Earthdawn allows a player to choose certain talents at new Circles of advancement.  To this end the sheet has been specifically designed to select the appropriate Optional Talents at the appropriate Circles.  If you find that it is not, please send a bug report to Bill so that it can be addressed.</t>
  </si>
  <si>
    <r>
      <rPr>
        <sz val="12"/>
        <rFont val="Times New Roman"/>
        <family val="1"/>
        <charset val="1"/>
      </rPr>
      <t xml:space="preserve">This section of the user's guide goes through the different parts of the</t>
    </r>
    <r>
      <rPr>
        <b val="true"/>
        <sz val="12"/>
        <rFont val="Times New Roman"/>
        <family val="1"/>
        <charset val="1"/>
      </rPr>
      <t xml:space="preserve">Build</t>
    </r>
    <r>
      <rPr>
        <sz val="12"/>
        <rFont val="Times New Roman"/>
        <family val="1"/>
        <charset val="1"/>
      </rPr>
      <t xml:space="preserve">page, and their uses in tracking a character. The top-left cell of the section being described is listed for ease of reference.</t>
    </r>
  </si>
  <si>
    <t xml:space="preserve">A character's name, race, and other personal information is entered in this section. To make certain that the information pulls correctly in the attribute box please use the drop down menu to select the appropriate race.</t>
  </si>
  <si>
    <t xml:space="preserve">The Sheet will automatically enter in the appropriate base values into the base attributes based on the race that you choose in the personal information box.  You then have the ability to “edit” those base attributes by entering values of –2 – 8 in the Assign column.  As you assign the values to the racial baselines a running total will be kept to inform you of how many of the 25 allotted points you have spent “of 25”.   </t>
  </si>
  <si>
    <t xml:space="preserve">Attribute increases are entered into the "Incr." column, and are added into the final "Value". The Legend Point cost for the attribute increases are calculated and displayed in the final column.</t>
  </si>
  <si>
    <t xml:space="preserve">The spreadsheet displays the total number of Attribute raises used at the bottom of the "Incr." column, and gives you a total out of a possible 18 attribute upgrades. If you are using one of the optional rules you will be on your own that your attribute increases meet those optional rules.</t>
  </si>
  <si>
    <t xml:space="preserve">The character's primary Discipline and secondary Disciplines are selected from drop down menus in the appropriate boxes of this section, along with the character's Circle in those Disciplines. The character's Circle at the time he learned the second Discipline gets entered into the final box ("Started At"). This information is factored into the Legend Point cost of the second Discipline's First Circle talents.</t>
  </si>
  <si>
    <t xml:space="preserve">The character's earned Legend Point total may be entered in the first box, and the second box shows the total available Legend Points, based on the totals calculated in the Legend Point Breakdown section.</t>
  </si>
  <si>
    <t xml:space="preserve">This section provides a breakdown (and total) of the Legend Points that have been spent on the character. In the yellow box on the line labeled "Karma Points" the number of Karma Points that have been purchased for the character may be entered; the cost of these points is calculated and entered into the total.</t>
  </si>
  <si>
    <t xml:space="preserve">Based on the character's indicated Discipline and Circle, the talents available at that Discipline and Circle are listed. For the character's primary Discipline, the free ranks granted at character creation are entered in the "Free" column (First Circle only). The character's current rank (including the free ranks) is entered in the "Rank" column.  The Optional Talents available to the character at creation are found in the drop down list in cell B23.  During you initial character creation you will have 8 “free” ranks to distribute to you talents.  Not only will you need to list those ranks in the “Free” column, you will also need to list those same ranks in the “Rank” column as well.</t>
  </si>
  <si>
    <t xml:space="preserve">The Next column listed is the Rank column. This is where you will enter you current rank for that particular Talent.  As your character grows and gains Legend you will simply change this number sequentially higher.  </t>
  </si>
  <si>
    <t xml:space="preserve">In the next column ("Bonus") any bonus ranks (from group threads, thread items, or other sources) is entered. These bonus ranks are included in the final rank and step calculations for the talent, but are not factored into the Legend Point cost.</t>
  </si>
  <si>
    <r>
      <rPr>
        <sz val="12"/>
        <rFont val="Times New Roman"/>
        <family val="1"/>
        <charset val="1"/>
      </rPr>
      <t xml:space="preserve">In the column labeled "Off", any entry will hide the talent from being displayed on the</t>
    </r>
    <r>
      <rPr>
        <b val="true"/>
        <sz val="12"/>
        <rFont val="Times New Roman"/>
        <family val="1"/>
        <charset val="1"/>
      </rPr>
      <t xml:space="preserve">Front</t>
    </r>
    <r>
      <rPr>
        <sz val="12"/>
        <rFont val="Times New Roman"/>
        <family val="1"/>
        <charset val="1"/>
      </rPr>
      <t xml:space="preserve">printable page. This status is indicated with "Hidden" appearing in the column labeled "Hide". A talent at Rank 0 will automatically display as "Hidden". The final column ("LPs") shows the total Legend Points spent to raise the talent to the indicated rank (taking free ranks, if any, into account).</t>
    </r>
  </si>
  <si>
    <t xml:space="preserve">Note: The spreadsheet does not check to see if the character has enough talents at the appropriate rank to qualify for the indicated Circle.</t>
  </si>
  <si>
    <t xml:space="preserve">If the character is Human, then Versatility will be listed as an available talent in this section. If the character learns any talents under Versatility, they can be entered in the rows below ("Other Talents"). Other bonus talents (whether from magic items or another source) may also be entered here. The "Rank", "Bonus", and "LPs" columns work the same way as they do in the other Talent Listings sections.</t>
  </si>
  <si>
    <t xml:space="preserve">If a character gets a 'free' talent from an item (or other source), the talent can be entered with "Rank 0" and the rank entered into the "Bonus" ranks to accurately reflect the Talent Rank, but will not cost Legend Points accounted for in other areas of the build sheet.</t>
  </si>
  <si>
    <t xml:space="preserve">Based on the character's indicated talent ranks, Knacks that he is eligible to learn are listed in this section. To learn a knack the character must enter a “Y” or “N” in the Disc Tal (Y/N) box first as this will change the LP cost of the Knack.  The character may then enter any entry into the "Known" box. The sheet will then tell you what the minimum Rank required is based on whether the Talent is a Discipline Talent or a Talent Option.</t>
  </si>
  <si>
    <t xml:space="preserve">These sections allow the player to track where he has group threads woven. In the first box, threads woven to characteristics may be indicated; these adjustments are automatically factored into the final stats on the printable pages.</t>
  </si>
  <si>
    <t xml:space="preserve">In the second, threads woven to talents are tracked by indicating the talent. This section is used solely to indicate where the threads are woven, and it calculates the Legend Point cost.</t>
  </si>
  <si>
    <t xml:space="preserve">NOTE: The actual bonus must be indicated in the appropriate "Bonus" box in the Talent Listings.</t>
  </si>
  <si>
    <t xml:space="preserve">Note: These boxes allow bonuses to characteristics that are not normally allowed with Group Threads. This allows GMs to expand the coverage of thread magic if desired, and track those threads.</t>
  </si>
  <si>
    <t xml:space="preserve">Threads woven to magic items are tracked in this section. The item name and current thread rank are entered in the appropriate columns. In the column marked "Base", the Legend Point cost for the Rank 1 thread is entered; this is used to calculate the total LP cost spent on threads for the item.</t>
  </si>
  <si>
    <r>
      <rPr>
        <sz val="12"/>
        <color rgb="FFFF0000"/>
        <rFont val="Times New Roman"/>
        <family val="1"/>
        <charset val="1"/>
      </rPr>
      <t xml:space="preserve">NOTE: Bonuses granted by the item are entered in the "Bonus" column of the appropriate talent listing (for talents) or in the</t>
    </r>
    <r>
      <rPr>
        <i val="true"/>
        <sz val="12"/>
        <color rgb="FFFF0000"/>
        <rFont val="Times New Roman"/>
        <family val="1"/>
        <charset val="1"/>
      </rPr>
      <t xml:space="preserve">Additional Increases</t>
    </r>
    <r>
      <rPr>
        <sz val="12"/>
        <color rgb="FFFF0000"/>
        <rFont val="Times New Roman"/>
        <family val="1"/>
        <charset val="1"/>
      </rPr>
      <t xml:space="preserve">section (for other bonuses).</t>
    </r>
  </si>
  <si>
    <t xml:space="preserve">In this section, bonuses to character attributes and characteristics may be tracked without incurring any Legend Point costs. The source of the bonus may be noted, if desired. These bonuses will Primarily be those from Thread Items as there are no other place to enter thread item bonus points.</t>
  </si>
  <si>
    <t xml:space="preserve">(Knowledge-B77, Artisan-B96, General-K77 &amp; T77)</t>
  </si>
  <si>
    <t xml:space="preserve">In these sections, a character's skills may be entered. Free ranks (either from character creation (14 Free ranks in total for character creation) or some other source) are entered into the first column, and the final rank (including any free ranks) is entered in the next column. The relevant attribute is listed, and any specialties may be indicated.</t>
  </si>
  <si>
    <t xml:space="preserve">Each section includes several blank lines, which allow the entry of custom skills; the skill name and linked attribute need to be entered into the appropriate columns.</t>
  </si>
  <si>
    <t xml:space="preserve">(Various)</t>
  </si>
  <si>
    <t xml:space="preserve">These sections allow the entry and listing of character equipment. They list all relevant game stats, and include several blank lines for the inclusion of custom equipment. Some special notes include:</t>
  </si>
  <si>
    <t xml:space="preserve">NOTES:</t>
  </si>
  <si>
    <t xml:space="preserve">Weapons: Thread weapons the character uses should be added in the blank lines. Relevant information (Damage Step, etc) can be included.</t>
  </si>
  <si>
    <t xml:space="preserve">Armor &amp; Shields: Thread armor and shields used by the character should be included in the blank lines. The spreadsheet 'stacks' armor values.</t>
  </si>
  <si>
    <t xml:space="preserve">Blood Charms: The spreadsheet assumes that any blood charms purchased are bonded, and automatically calculates the total blood magic damage.</t>
  </si>
  <si>
    <r>
      <rPr>
        <sz val="12"/>
        <rFont val="Times New Roman"/>
        <family val="1"/>
        <charset val="1"/>
      </rPr>
      <t xml:space="preserve">Blood magic suffered as a result of oaths or other sources can be listed here. The spreadsheet adds in the damage costs to the total blood magic suffered, and this total is displayed as part of the character's final Death and Unconsciousness ratings on the</t>
    </r>
    <r>
      <rPr>
        <b val="true"/>
        <sz val="12"/>
        <rFont val="Times New Roman"/>
        <family val="1"/>
        <charset val="1"/>
      </rPr>
      <t xml:space="preserve">Front</t>
    </r>
    <r>
      <rPr>
        <sz val="12"/>
        <rFont val="Times New Roman"/>
        <family val="1"/>
        <charset val="1"/>
      </rPr>
      <t xml:space="preserve">printable page.</t>
    </r>
  </si>
  <si>
    <t xml:space="preserve">Note: The Death and Unconscious Ratings after Blood Magic Damage will be the ratings in ( ).  The original ratings will be outside the ( ).</t>
  </si>
  <si>
    <t xml:space="preserve">Cash and other valuables carried by the character may be entered in these boxes.</t>
  </si>
  <si>
    <t xml:space="preserve">Information about magical treasure carried by the character may be listed here. Information entered here is not factored into any characteristics or derived attributes. It is simply for display on the printed pages.</t>
  </si>
  <si>
    <t xml:space="preserve">These sections may have relevant information entered for display on the printed pages. They have no effect on any characteristics or derived attributes.</t>
  </si>
  <si>
    <t xml:space="preserve">This section allows a mount or other animal companion to have their characteristics listed on the printed pages.</t>
  </si>
  <si>
    <r>
      <rPr>
        <sz val="12"/>
        <rFont val="Times New Roman"/>
        <family val="1"/>
        <charset val="1"/>
      </rPr>
      <t xml:space="preserve">These sections allow a player to track the source of Legend Point awards, and where points get spent. This is purely for record-keeping purposes, and displays on the</t>
    </r>
    <r>
      <rPr>
        <b val="true"/>
        <sz val="12"/>
        <rFont val="Times New Roman"/>
        <family val="1"/>
        <charset val="1"/>
      </rPr>
      <t xml:space="preserve">Legend</t>
    </r>
    <r>
      <rPr>
        <sz val="12"/>
        <rFont val="Times New Roman"/>
        <family val="1"/>
        <charset val="1"/>
      </rPr>
      <t xml:space="preserve">printed page. It does not affect any other totals calculated or displayed on the spreadsheet.</t>
    </r>
  </si>
  <si>
    <t xml:space="preserve">If the character follows a spellcasting Discipline, the spells available to the character will be listed in these sections. A mark in the box next to the spell name will display it on the appropriate printed spell page.</t>
  </si>
  <si>
    <t xml:space="preserve">The area below the spell lists is used for the various calculations and data retrieval functions of the spreadsheet, as well as building the references used on the printed pages.</t>
  </si>
  <si>
    <r>
      <rPr>
        <sz val="14"/>
        <color rgb="FFFF0000"/>
        <rFont val="Times New Roman"/>
        <family val="1"/>
        <charset val="1"/>
      </rPr>
      <t xml:space="preserve">Note: It is</t>
    </r>
    <r>
      <rPr>
        <b val="true"/>
        <sz val="14"/>
        <color rgb="FFFF0000"/>
        <rFont val="Times New Roman"/>
        <family val="1"/>
        <charset val="1"/>
      </rPr>
      <t xml:space="preserve">strongly</t>
    </r>
    <r>
      <rPr>
        <sz val="14"/>
        <color rgb="FFFF0000"/>
        <rFont val="Times New Roman"/>
        <family val="1"/>
        <charset val="1"/>
      </rPr>
      <t xml:space="preserve">recommended that you do not alter or modify the cells in this area unless you know what you are doing.</t>
    </r>
  </si>
  <si>
    <t xml:space="preserve">Should you wish to modify or add custom Races, Disciplines, Talents, Knacks or Spells, you need to add the information to the appropriate data page. It is recommended that you save any custom modifications to the data tables to a new file, or have a back up of the original spreadsheet available for corrections.</t>
  </si>
  <si>
    <t xml:space="preserve">Custom races can be added to the "Tables" page. Enter the relevant information for the custom race inside the pre-determined/outlined boxes. In order for the spreadsheet to process the information correctly, the list must be alphabetical.</t>
  </si>
  <si>
    <t xml:space="preserve">To add a custom Discipline, its talent list and circle bonuses must be added to the "Disciplines" data page. Use the option to insert a new column where the new Discipline will alphabetically fit, and enter the talents available at each Circle. Discipline talents are indicated with a "(D)" after the talent name. The Optional Talents will need to be entered towards the bottom of the sheet in the same manner that the other Disciplines have their Talent Options listed.</t>
  </si>
  <si>
    <t xml:space="preserve">If you wish to modify the talents and bonuses available to an existing Discipline, you can edit the list of talents and bonuses, rather than adding an entirely new Discipline.</t>
  </si>
  <si>
    <t xml:space="preserve">Note: Any custom Talents (or Knacks) that are available to this Discipline need to be added to the appropriate list under the "Talents" data page. See the relevant section for instructions on how to do this.</t>
  </si>
  <si>
    <r>
      <rPr>
        <sz val="12"/>
        <rFont val="Times New Roman"/>
        <family val="1"/>
        <charset val="1"/>
      </rPr>
      <t xml:space="preserve">Durability ratings are entered next, followed by the coding for the Circle bonuses, which are entered as follows: at each circle, the</t>
    </r>
    <r>
      <rPr>
        <i val="true"/>
        <sz val="12"/>
        <rFont val="Times New Roman"/>
        <family val="1"/>
        <charset val="1"/>
      </rPr>
      <t xml:space="preserve">total</t>
    </r>
    <r>
      <rPr>
        <sz val="12"/>
        <rFont val="Times New Roman"/>
        <family val="1"/>
        <charset val="1"/>
      </rPr>
      <t xml:space="preserve">bonuses accumulated to that point are listed in the following order:</t>
    </r>
  </si>
  <si>
    <t xml:space="preserve">Physical Defense / Spell Defense / Social Defense / Initiative Bonus / Extra Recovery Tests</t>
  </si>
  <si>
    <t xml:space="preserve">These are followed by alphabetical codes that indicate where the adept may spend karma. The codes used are listed in the calculations section of the "Build" page, and are listed here for reference.</t>
  </si>
  <si>
    <t xml:space="preserve">D – Dexterity</t>
  </si>
  <si>
    <t xml:space="preserve">F – Spell Effect</t>
  </si>
  <si>
    <t xml:space="preserve">B – Tests vs. Enemy Soc Def</t>
  </si>
  <si>
    <t xml:space="preserve">S – Strength</t>
  </si>
  <si>
    <t xml:space="preserve">M – Mount's Actions</t>
  </si>
  <si>
    <t xml:space="preserve">X – Any damage test</t>
  </si>
  <si>
    <t xml:space="preserve">T – Toughness</t>
  </si>
  <si>
    <t xml:space="preserve">O – Other's Social Actions</t>
  </si>
  <si>
    <t xml:space="preserve">H – Damage vs. Horrors</t>
  </si>
  <si>
    <t xml:space="preserve">P – Perception</t>
  </si>
  <si>
    <t xml:space="preserve">E – Melee Damage</t>
  </si>
  <si>
    <t xml:space="preserve">Z – Resist Horrors</t>
  </si>
  <si>
    <t xml:space="preserve">W – Willpower</t>
  </si>
  <si>
    <t xml:space="preserve">G – Controlled Spirit Actions</t>
  </si>
  <si>
    <t xml:space="preserve">A – Artisan Tests</t>
  </si>
  <si>
    <t xml:space="preserve">C – Charisma</t>
  </si>
  <si>
    <t xml:space="preserve">I – Missile Damage</t>
  </si>
  <si>
    <t xml:space="preserve">L – Damage with Tail</t>
  </si>
  <si>
    <t xml:space="preserve">R – Recovery</t>
  </si>
  <si>
    <t xml:space="preserve">U – Unarmed Damage</t>
  </si>
  <si>
    <t xml:space="preserve">J – Interaction Tests</t>
  </si>
  <si>
    <t xml:space="preserve">Finally, the Discipline's available Knacks are listed alphabetically.</t>
  </si>
  <si>
    <t xml:space="preserve">Note: The Knacks Braiding Threads, Talent Linking, Thread Masking, and Unraveling are available to all Disciplines, and do not need to be included in this list.</t>
  </si>
  <si>
    <t xml:space="preserve">Under the "Talents" data page, enter the appropriate information to the list of Talents (and Talent Knacks) provided. Before the spreadsheet will function properly, the list needs to be alphabetized. Space for additional talents and knacks has been taken into account in the lookup ranges of the build page.</t>
  </si>
  <si>
    <r>
      <rPr>
        <sz val="12"/>
        <rFont val="Times New Roman"/>
        <family val="1"/>
        <charset val="1"/>
      </rPr>
      <t xml:space="preserve">Custom spells can be entered under the "Spells" data page. For convenience and ease of building, spells are listed by Circle. To insert a new spell, find where it would appear on the list, select all of the spells (and spell information) for that Discipline,</t>
    </r>
    <r>
      <rPr>
        <i val="true"/>
        <sz val="12"/>
        <rFont val="Times New Roman"/>
        <family val="1"/>
        <charset val="1"/>
      </rPr>
      <t xml:space="preserve">Cut</t>
    </r>
    <r>
      <rPr>
        <sz val="12"/>
        <rFont val="Times New Roman"/>
        <family val="1"/>
        <charset val="1"/>
      </rPr>
      <t xml:space="preserve">and then</t>
    </r>
    <r>
      <rPr>
        <i val="true"/>
        <sz val="12"/>
        <rFont val="Times New Roman"/>
        <family val="1"/>
        <charset val="1"/>
      </rPr>
      <t xml:space="preserve">Paste</t>
    </r>
    <r>
      <rPr>
        <sz val="12"/>
        <rFont val="Times New Roman"/>
        <family val="1"/>
        <charset val="1"/>
      </rPr>
      <t xml:space="preserve">it one line lower, opening a space for the new spell to be entered. The</t>
    </r>
    <r>
      <rPr>
        <b val="true"/>
        <sz val="12"/>
        <rFont val="Times New Roman"/>
        <family val="1"/>
        <charset val="1"/>
      </rPr>
      <t xml:space="preserve">Build</t>
    </r>
    <r>
      <rPr>
        <sz val="12"/>
        <rFont val="Times New Roman"/>
        <family val="1"/>
        <charset val="1"/>
      </rPr>
      <t xml:space="preserve">page has been designed to take additional spells into account, up to a maximum of 128 spells per Discipline.</t>
    </r>
  </si>
  <si>
    <t xml:space="preserve">The easiest way to add a custom spellcasting Discipline with its own spell list is to modify the information for one of the existing spellcasting Disciplines, but this removes the support for that Discipline. To keep support for the existing spellcasters requires extensive modification, which is not supported by this guide, but can be done by request if you email Bill.</t>
  </si>
  <si>
    <r>
      <rPr>
        <sz val="12"/>
        <rFont val="Times New Roman"/>
        <family val="1"/>
        <charset val="1"/>
      </rPr>
      <t xml:space="preserve">The spreadsheet file is rather large (over 1 Mb). In order to cut down the file size, it is possible to delete the printable pages you do not use. For example, if you are playing a character who will not cast any spells, and has no need for that information, the four printable spellcaster pages can be deleted, as can the</t>
    </r>
    <r>
      <rPr>
        <b val="true"/>
        <sz val="12"/>
        <rFont val="Times New Roman"/>
        <family val="1"/>
        <charset val="1"/>
      </rPr>
      <t xml:space="preserve">Spells</t>
    </r>
    <r>
      <rPr>
        <sz val="12"/>
        <rFont val="Times New Roman"/>
        <family val="1"/>
        <charset val="1"/>
      </rPr>
      <t xml:space="preserve">data page.</t>
    </r>
  </si>
  <si>
    <t xml:space="preserve">NB: Everything can be edited, but be careful when writing in gray or blue cells.</t>
  </si>
  <si>
    <t xml:space="preserve">Initial Build Points spent</t>
  </si>
  <si>
    <t xml:space="preserve">Assign Att Point</t>
  </si>
  <si>
    <t xml:space="preserve">Free Talent Ranks</t>
  </si>
  <si>
    <t xml:space="preserve">Assign Skill Ranks</t>
  </si>
  <si>
    <t xml:space="preserve">Total</t>
  </si>
  <si>
    <t xml:space="preserve">Knowledge</t>
  </si>
  <si>
    <t xml:space="preserve">Artisan</t>
  </si>
  <si>
    <t xml:space="preserve">Language</t>
  </si>
  <si>
    <t xml:space="preserve">General</t>
  </si>
  <si>
    <t xml:space="preserve">PERSONAL INFORMATION</t>
  </si>
  <si>
    <t xml:space="preserve">DISCIPLINE INFORMATION</t>
  </si>
  <si>
    <t xml:space="preserve">LEGENED POINT BREAKDOWN</t>
  </si>
  <si>
    <t xml:space="preserve">Player Name</t>
  </si>
  <si>
    <t xml:space="preserve">Tars</t>
  </si>
  <si>
    <t xml:space="preserve">ATTRIBUTES</t>
  </si>
  <si>
    <t xml:space="preserve">Racial</t>
  </si>
  <si>
    <t xml:space="preserve">Assign</t>
  </si>
  <si>
    <t xml:space="preserve">Cost</t>
  </si>
  <si>
    <t xml:space="preserve">Orig.</t>
  </si>
  <si>
    <t xml:space="preserve">Incr.</t>
  </si>
  <si>
    <t xml:space="preserve">Value</t>
  </si>
  <si>
    <t xml:space="preserve">LPs</t>
  </si>
  <si>
    <t xml:space="preserve">Discipline</t>
  </si>
  <si>
    <t xml:space="preserve">Scout_Infiltrator</t>
  </si>
  <si>
    <t xml:space="preserve">Talent Ranks</t>
  </si>
  <si>
    <t xml:space="preserve">Name</t>
  </si>
  <si>
    <t xml:space="preserve">D'hali Dermul</t>
  </si>
  <si>
    <t xml:space="preserve">Dexterity</t>
  </si>
  <si>
    <t xml:space="preserve">  Circle</t>
  </si>
  <si>
    <t xml:space="preserve">Race</t>
  </si>
  <si>
    <t xml:space="preserve">Human</t>
  </si>
  <si>
    <t xml:space="preserve">Galeb</t>
  </si>
  <si>
    <t xml:space="preserve">Kalek</t>
  </si>
  <si>
    <t xml:space="preserve">Strength</t>
  </si>
  <si>
    <t xml:space="preserve">2nd Discipline</t>
  </si>
  <si>
    <t xml:space="preserve">Thief</t>
  </si>
  <si>
    <t xml:space="preserve">Sex</t>
  </si>
  <si>
    <t xml:space="preserve">Male</t>
  </si>
  <si>
    <t xml:space="preserve">Age</t>
  </si>
  <si>
    <t xml:space="preserve">years</t>
  </si>
  <si>
    <t xml:space="preserve">Toughness</t>
  </si>
  <si>
    <t xml:space="preserve">Threads</t>
  </si>
  <si>
    <t xml:space="preserve">Height</t>
  </si>
  <si>
    <t xml:space="preserve">Weight</t>
  </si>
  <si>
    <t xml:space="preserve">kg</t>
  </si>
  <si>
    <t xml:space="preserve">Perception</t>
  </si>
  <si>
    <t xml:space="preserve">  Started at</t>
  </si>
  <si>
    <t xml:space="preserve">Hair</t>
  </si>
  <si>
    <t xml:space="preserve">Eyes</t>
  </si>
  <si>
    <t xml:space="preserve">Willpower</t>
  </si>
  <si>
    <t xml:space="preserve">Earned Legend</t>
  </si>
  <si>
    <t xml:space="preserve">Versatility</t>
  </si>
  <si>
    <t xml:space="preserve">Appearance:</t>
  </si>
  <si>
    <t xml:space="preserve">Charisma</t>
  </si>
  <si>
    <t xml:space="preserve">LP Adjustments</t>
  </si>
  <si>
    <t xml:space="preserve">Karma Points</t>
  </si>
  <si>
    <t xml:space="preserve">Available Legend</t>
  </si>
  <si>
    <t xml:space="preserve">Free</t>
  </si>
  <si>
    <t xml:space="preserve">Rank</t>
  </si>
  <si>
    <t xml:space="preserve">Bonus</t>
  </si>
  <si>
    <t xml:space="preserve">Off</t>
  </si>
  <si>
    <t xml:space="preserve">Hide</t>
  </si>
  <si>
    <t xml:space="preserve">Talent Info do not Modify</t>
  </si>
  <si>
    <t xml:space="preserve">Parry</t>
  </si>
  <si>
    <t xml:space="preserve">Wood Skin</t>
  </si>
  <si>
    <t xml:space="preserve">Lasting Impression</t>
  </si>
  <si>
    <t xml:space="preserve">Slough Blame</t>
  </si>
  <si>
    <t xml:space="preserve">Melee Weapons</t>
  </si>
  <si>
    <t xml:space="preserve">Earth Skin</t>
  </si>
  <si>
    <t xml:space="preserve">Durability</t>
  </si>
  <si>
    <t xml:space="preserve">Detect Trap</t>
  </si>
  <si>
    <t xml:space="preserve">Great Leap</t>
  </si>
  <si>
    <t xml:space="preserve">Disarm Trap</t>
  </si>
  <si>
    <t xml:space="preserve">KNACKS</t>
  </si>
  <si>
    <t xml:space="preserve">Disc Tal (Y/N)</t>
  </si>
  <si>
    <t xml:space="preserve">Known</t>
  </si>
  <si>
    <t xml:space="preserve">DiscT Rank</t>
  </si>
  <si>
    <t xml:space="preserve">TalOpt Rank</t>
  </si>
  <si>
    <t xml:space="preserve">Lock Picking</t>
  </si>
  <si>
    <t xml:space="preserve">Y</t>
  </si>
  <si>
    <t xml:space="preserve">Conceal Object</t>
  </si>
  <si>
    <t xml:space="preserve">X</t>
  </si>
  <si>
    <t xml:space="preserve">N</t>
  </si>
  <si>
    <t xml:space="preserve">GROUP THREADS WOVEN TO PERSONAL ATTRIBUTES</t>
  </si>
  <si>
    <t xml:space="preserve">GROUP THREADS WOVEN</t>
  </si>
  <si>
    <t xml:space="preserve">ADDITIONAL INCREASES</t>
  </si>
  <si>
    <t xml:space="preserve">Notes/Source</t>
  </si>
  <si>
    <t xml:space="preserve">TO TALENTS</t>
  </si>
  <si>
    <t xml:space="preserve">Physical Defense</t>
  </si>
  <si>
    <t xml:space="preserve">Thread Ring Manipur (3)+Pattern Item(5)</t>
  </si>
  <si>
    <t xml:space="preserve">Spell Defense</t>
  </si>
  <si>
    <t xml:space="preserve">THREADS TO ITEMS</t>
  </si>
  <si>
    <t xml:space="preserve">Base</t>
  </si>
  <si>
    <t xml:space="preserve">Social Defense</t>
  </si>
  <si>
    <t xml:space="preserve">Vandgaldens Morning</t>
  </si>
  <si>
    <t xml:space="preserve">Physical Armor</t>
  </si>
  <si>
    <t xml:space="preserve">Rękawice Kowenas</t>
  </si>
  <si>
    <t xml:space="preserve">Mystic Armor</t>
  </si>
  <si>
    <t xml:space="preserve">Zbroja Osłona Obieżyświata</t>
  </si>
  <si>
    <t xml:space="preserve">Initiative</t>
  </si>
  <si>
    <t xml:space="preserve">Pierścien Obrony Manipur</t>
  </si>
  <si>
    <t xml:space="preserve">Recovery Tests</t>
  </si>
  <si>
    <t xml:space="preserve">Physical Def.</t>
  </si>
  <si>
    <t xml:space="preserve">Figurka szachowa Kiro</t>
  </si>
  <si>
    <t xml:space="preserve">Recovery Step</t>
  </si>
  <si>
    <t xml:space="preserve">Wound Threshold</t>
  </si>
  <si>
    <t xml:space="preserve">Movement Rate</t>
  </si>
  <si>
    <t xml:space="preserve">Wound Thr.</t>
  </si>
  <si>
    <t xml:space="preserve">Max Karma</t>
  </si>
  <si>
    <t xml:space="preserve">KNOWLEDGE SKILLS</t>
  </si>
  <si>
    <t xml:space="preserve">Attrib</t>
  </si>
  <si>
    <t xml:space="preserve">Speciality</t>
  </si>
  <si>
    <t xml:space="preserve">SKILLS</t>
  </si>
  <si>
    <t xml:space="preserve">Specialty</t>
  </si>
  <si>
    <t xml:space="preserve">Alchemy &amp; Potions</t>
  </si>
  <si>
    <t xml:space="preserve">P</t>
  </si>
  <si>
    <t xml:space="preserve">Acrobatic Strike</t>
  </si>
  <si>
    <t xml:space="preserve">D</t>
  </si>
  <si>
    <t xml:space="preserve">Disarm</t>
  </si>
  <si>
    <t xml:space="preserve">Ancient Weapons</t>
  </si>
  <si>
    <t xml:space="preserve">Acting</t>
  </si>
  <si>
    <t xml:space="preserve">C</t>
  </si>
  <si>
    <t xml:space="preserve">Animal Lore</t>
  </si>
  <si>
    <t xml:space="preserve">Air Sailing</t>
  </si>
  <si>
    <t xml:space="preserve">W</t>
  </si>
  <si>
    <t xml:space="preserve">Disguise</t>
  </si>
  <si>
    <t xml:space="preserve">Barsaivian History</t>
  </si>
  <si>
    <t xml:space="preserve">Alchemy</t>
  </si>
  <si>
    <t xml:space="preserve">Distract</t>
  </si>
  <si>
    <t xml:space="preserve">Botany</t>
  </si>
  <si>
    <t xml:space="preserve">Animal Bond</t>
  </si>
  <si>
    <t xml:space="preserve">Down Strike</t>
  </si>
  <si>
    <t xml:space="preserve">S</t>
  </si>
  <si>
    <t xml:space="preserve">Magical Creature Lore</t>
  </si>
  <si>
    <t xml:space="preserve">Animal Handling</t>
  </si>
  <si>
    <t xml:space="preserve">Emotion Song</t>
  </si>
  <si>
    <t xml:space="preserve">Dwarven Military Orders</t>
  </si>
  <si>
    <t xml:space="preserve">Animal Training</t>
  </si>
  <si>
    <t xml:space="preserve">Engaging Banter</t>
  </si>
  <si>
    <t xml:space="preserve">Throal History</t>
  </si>
  <si>
    <t xml:space="preserve">Arcane Mutterings</t>
  </si>
  <si>
    <t xml:space="preserve">Entertainer</t>
  </si>
  <si>
    <t xml:space="preserve">Legends &amp; Heroes</t>
  </si>
  <si>
    <t xml:space="preserve">Artisan </t>
  </si>
  <si>
    <t xml:space="preserve">Etiquette</t>
  </si>
  <si>
    <t xml:space="preserve">Racial History</t>
  </si>
  <si>
    <t xml:space="preserve">Artist</t>
  </si>
  <si>
    <t xml:space="preserve">Fast Hand</t>
  </si>
  <si>
    <t xml:space="preserve">Racial Lore</t>
  </si>
  <si>
    <t xml:space="preserve">Avoid Blow</t>
  </si>
  <si>
    <t xml:space="preserve">First Impression</t>
  </si>
  <si>
    <t xml:space="preserve">Racial Politics</t>
  </si>
  <si>
    <t xml:space="preserve">Battle Bellow</t>
  </si>
  <si>
    <t xml:space="preserve">Fishing</t>
  </si>
  <si>
    <t xml:space="preserve">Scourge History</t>
  </si>
  <si>
    <t xml:space="preserve">Battle Shout</t>
  </si>
  <si>
    <t xml:space="preserve">Flirting</t>
  </si>
  <si>
    <t xml:space="preserve">Trade Routes of Barsaive</t>
  </si>
  <si>
    <t xml:space="preserve">Blade Juggle</t>
  </si>
  <si>
    <t xml:space="preserve">Forgery</t>
  </si>
  <si>
    <t xml:space="preserve">Secret Societies</t>
  </si>
  <si>
    <t xml:space="preserve">Bribery</t>
  </si>
  <si>
    <t xml:space="preserve">Graceful Exit</t>
  </si>
  <si>
    <t xml:space="preserve"> </t>
  </si>
  <si>
    <t xml:space="preserve">Charge</t>
  </si>
  <si>
    <t xml:space="preserve">Climbing</t>
  </si>
  <si>
    <t xml:space="preserve">Haggle</t>
  </si>
  <si>
    <t xml:space="preserve">Close In</t>
  </si>
  <si>
    <t xml:space="preserve">Heartening Laugh</t>
  </si>
  <si>
    <t xml:space="preserve">ARTISAN SKILLS</t>
  </si>
  <si>
    <t xml:space="preserve">Hunting</t>
  </si>
  <si>
    <t xml:space="preserve">Conversation</t>
  </si>
  <si>
    <t xml:space="preserve">Hypnotize</t>
  </si>
  <si>
    <t xml:space="preserve">Craft Armor</t>
  </si>
  <si>
    <t xml:space="preserve">Impress</t>
  </si>
  <si>
    <t xml:space="preserve">Craftsman</t>
  </si>
  <si>
    <t xml:space="preserve">Craft Weapon</t>
  </si>
  <si>
    <t xml:space="preserve">Intimidation</t>
  </si>
  <si>
    <t xml:space="preserve">Cooking</t>
  </si>
  <si>
    <t xml:space="preserve">Dead Fall</t>
  </si>
  <si>
    <t xml:space="preserve">Court Dancing</t>
  </si>
  <si>
    <t xml:space="preserve">Lip Reading</t>
  </si>
  <si>
    <t xml:space="preserve">Detect Weapon</t>
  </si>
  <si>
    <t xml:space="preserve">Robe Embroidery</t>
  </si>
  <si>
    <t xml:space="preserve">Diplomacy</t>
  </si>
  <si>
    <t xml:space="preserve">Maneuver</t>
  </si>
  <si>
    <t xml:space="preserve">Rune Carving</t>
  </si>
  <si>
    <t xml:space="preserve">Mapmaking</t>
  </si>
  <si>
    <t xml:space="preserve">Tattooing</t>
  </si>
  <si>
    <t xml:space="preserve">Read/Write Language</t>
  </si>
  <si>
    <t xml:space="preserve">Mimic Voice</t>
  </si>
  <si>
    <t xml:space="preserve">Speak Language</t>
  </si>
  <si>
    <t xml:space="preserve">Missile Weapons</t>
  </si>
  <si>
    <t xml:space="preserve">Momentum Attack</t>
  </si>
  <si>
    <t xml:space="preserve">Mount Attack</t>
  </si>
  <si>
    <t xml:space="preserve">Navigation</t>
  </si>
  <si>
    <t xml:space="preserve">WEAPONS</t>
  </si>
  <si>
    <t xml:space="preserve">Carry</t>
  </si>
  <si>
    <t xml:space="preserve">Dam</t>
  </si>
  <si>
    <t xml:space="preserve">Forged</t>
  </si>
  <si>
    <t xml:space="preserve">Range</t>
  </si>
  <si>
    <t xml:space="preserve">Min Str/Dex</t>
  </si>
  <si>
    <t xml:space="preserve">Size</t>
  </si>
  <si>
    <t xml:space="preserve">Step</t>
  </si>
  <si>
    <t xml:space="preserve">DamDice</t>
  </si>
  <si>
    <t xml:space="preserve">Notes</t>
  </si>
  <si>
    <t xml:space="preserve">Barbed Net</t>
  </si>
  <si>
    <t xml:space="preserve">-</t>
  </si>
  <si>
    <t xml:space="preserve">9 / -</t>
  </si>
  <si>
    <t xml:space="preserve">Performance</t>
  </si>
  <si>
    <t xml:space="preserve">Battle Axe</t>
  </si>
  <si>
    <t xml:space="preserve">13 / -</t>
  </si>
  <si>
    <t xml:space="preserve">Physician</t>
  </si>
  <si>
    <t xml:space="preserve">Broadsword</t>
  </si>
  <si>
    <t xml:space="preserve">12 / -</t>
  </si>
  <si>
    <t xml:space="preserve">Picking Pockets</t>
  </si>
  <si>
    <t xml:space="preserve">Casting Net</t>
  </si>
  <si>
    <t xml:space="preserve">5 / -</t>
  </si>
  <si>
    <t xml:space="preserve">Pilot Boat</t>
  </si>
  <si>
    <t xml:space="preserve">Charge Sword</t>
  </si>
  <si>
    <t xml:space="preserve">15 / -</t>
  </si>
  <si>
    <t xml:space="preserve">Read/Write Magic</t>
  </si>
  <si>
    <t xml:space="preserve">Ch'tard Blade</t>
  </si>
  <si>
    <t xml:space="preserve">10 / -</t>
  </si>
  <si>
    <t xml:space="preserve">Read River</t>
  </si>
  <si>
    <t xml:space="preserve">Ch'tard Danceblade</t>
  </si>
  <si>
    <t xml:space="preserve">Research</t>
  </si>
  <si>
    <t xml:space="preserve">Ch'tard Thorn</t>
  </si>
  <si>
    <t xml:space="preserve">7 / -</t>
  </si>
  <si>
    <t xml:space="preserve">Resist Taunt</t>
  </si>
  <si>
    <t xml:space="preserve">Club</t>
  </si>
  <si>
    <t xml:space="preserve">Rhetoric</t>
  </si>
  <si>
    <t xml:space="preserve">Dagger</t>
  </si>
  <si>
    <t xml:space="preserve">2 - 10 - 11 - 20</t>
  </si>
  <si>
    <t xml:space="preserve">4 / -</t>
  </si>
  <si>
    <t xml:space="preserve">Riposte</t>
  </si>
  <si>
    <t xml:space="preserve">Dinganni Talon</t>
  </si>
  <si>
    <t xml:space="preserve">11 / -</t>
  </si>
  <si>
    <t xml:space="preserve">Sailing</t>
  </si>
  <si>
    <t xml:space="preserve">Dwarf Sword</t>
  </si>
  <si>
    <t xml:space="preserve">Search</t>
  </si>
  <si>
    <t xml:space="preserve">Flail</t>
  </si>
  <si>
    <t xml:space="preserve">10 / 7 </t>
  </si>
  <si>
    <t xml:space="preserve">Second Attack</t>
  </si>
  <si>
    <t xml:space="preserve">Flowing Blade</t>
  </si>
  <si>
    <t xml:space="preserve">Second Shot</t>
  </si>
  <si>
    <t xml:space="preserve">Hand-Axe</t>
  </si>
  <si>
    <t xml:space="preserve">8 / -</t>
  </si>
  <si>
    <t xml:space="preserve">Second Weapon</t>
  </si>
  <si>
    <t xml:space="preserve">Knife</t>
  </si>
  <si>
    <t xml:space="preserve">2 - 8 - 9 - 16</t>
  </si>
  <si>
    <t xml:space="preserve">3 / -</t>
  </si>
  <si>
    <t xml:space="preserve">Seduction</t>
  </si>
  <si>
    <t xml:space="preserve">Lance</t>
  </si>
  <si>
    <t xml:space="preserve">14 / -</t>
  </si>
  <si>
    <t xml:space="preserve">Shield Charge</t>
  </si>
  <si>
    <t xml:space="preserve">Mace</t>
  </si>
  <si>
    <t xml:space="preserve">Silent Walk</t>
  </si>
  <si>
    <t xml:space="preserve">Nailboot</t>
  </si>
  <si>
    <t xml:space="preserve">Path Staffs</t>
  </si>
  <si>
    <t xml:space="preserve">Sprint</t>
  </si>
  <si>
    <t xml:space="preserve">    Lord's Staff</t>
  </si>
  <si>
    <t xml:space="preserve">Streetwise</t>
  </si>
  <si>
    <t xml:space="preserve">    Sage's Staff</t>
  </si>
  <si>
    <t xml:space="preserve">Sure Mount</t>
  </si>
  <si>
    <t xml:space="preserve">    Scholar's Staff</t>
  </si>
  <si>
    <t xml:space="preserve">Surprise Strike</t>
  </si>
  <si>
    <t xml:space="preserve">    Traveler's Staff</t>
  </si>
  <si>
    <t xml:space="preserve">6 / -</t>
  </si>
  <si>
    <t xml:space="preserve">Swift Kick</t>
  </si>
  <si>
    <t xml:space="preserve">    Warrior's Staff</t>
  </si>
  <si>
    <t xml:space="preserve">Swimming</t>
  </si>
  <si>
    <t xml:space="preserve">Pole Arms</t>
  </si>
  <si>
    <t xml:space="preserve">Tactics</t>
  </si>
  <si>
    <t xml:space="preserve">Pole-Axe</t>
  </si>
  <si>
    <t xml:space="preserve">16 / -</t>
  </si>
  <si>
    <t xml:space="preserve">Taunt</t>
  </si>
  <si>
    <t xml:space="preserve">Quarterstaff</t>
  </si>
  <si>
    <t xml:space="preserve">6 / 7</t>
  </si>
  <si>
    <t xml:space="preserve">Throwing Weapons</t>
  </si>
  <si>
    <t xml:space="preserve">Raid Spear</t>
  </si>
  <si>
    <t xml:space="preserve">Tracking</t>
  </si>
  <si>
    <t xml:space="preserve">Sap</t>
  </si>
  <si>
    <t xml:space="preserve">3 / 7</t>
  </si>
  <si>
    <t xml:space="preserve">Trap Initiative</t>
  </si>
  <si>
    <t xml:space="preserve">Scythan Axe</t>
  </si>
  <si>
    <t xml:space="preserve">Trick Riding</t>
  </si>
  <si>
    <t xml:space="preserve">Short Sword</t>
  </si>
  <si>
    <t xml:space="preserve">Unarmed Combat</t>
  </si>
  <si>
    <t xml:space="preserve">Silent Shepherd's Crook</t>
  </si>
  <si>
    <t xml:space="preserve">7 / 13</t>
  </si>
  <si>
    <t xml:space="preserve">Wheeling Attack</t>
  </si>
  <si>
    <t xml:space="preserve">Long Spear</t>
  </si>
  <si>
    <t xml:space="preserve">Wheeling Defense</t>
  </si>
  <si>
    <t xml:space="preserve">Spiked Mace</t>
  </si>
  <si>
    <t xml:space="preserve">Wilderness Survival</t>
  </si>
  <si>
    <t xml:space="preserve">Forests</t>
  </si>
  <si>
    <t xml:space="preserve">Stone Maul</t>
  </si>
  <si>
    <t xml:space="preserve">21 / -</t>
  </si>
  <si>
    <t xml:space="preserve">Wound Balance</t>
  </si>
  <si>
    <t xml:space="preserve">Trispear</t>
  </si>
  <si>
    <t xml:space="preserve">Troll Battle Axe</t>
  </si>
  <si>
    <t xml:space="preserve">17 / -</t>
  </si>
  <si>
    <t xml:space="preserve">Troll Sword</t>
  </si>
  <si>
    <t xml:space="preserve">Two-handed Sword</t>
  </si>
  <si>
    <t xml:space="preserve">Warhammer</t>
  </si>
  <si>
    <t xml:space="preserve">Whip</t>
  </si>
  <si>
    <t xml:space="preserve">7 / 7</t>
  </si>
  <si>
    <t xml:space="preserve">Windling Pole Arm</t>
  </si>
  <si>
    <t xml:space="preserve">Windling Spear</t>
  </si>
  <si>
    <t xml:space="preserve">Windling Sword</t>
  </si>
  <si>
    <t xml:space="preserve">Wrist Blade</t>
  </si>
  <si>
    <t xml:space="preserve">Thread broadsword</t>
  </si>
  <si>
    <t xml:space="preserve">Barbed Throwing Net</t>
  </si>
  <si>
    <t xml:space="preserve">Blowgun</t>
  </si>
  <si>
    <t xml:space="preserve">Bola</t>
  </si>
  <si>
    <t xml:space="preserve">2 - 12 - 13 - 24</t>
  </si>
  <si>
    <t xml:space="preserve">6 / 9</t>
  </si>
  <si>
    <t xml:space="preserve">Burning Oil</t>
  </si>
  <si>
    <t xml:space="preserve">2 - 6 - 10 - 12</t>
  </si>
  <si>
    <t xml:space="preserve">Dancing Blade</t>
  </si>
  <si>
    <r>
      <rPr>
        <sz val="10"/>
        <rFont val="Times New Roman"/>
        <family val="1"/>
        <charset val="1"/>
      </rPr>
      <t xml:space="preserve">10</t>
    </r>
    <r>
      <rPr>
        <b val="true"/>
        <sz val="10"/>
        <rFont val="Times New Roman"/>
        <family val="1"/>
        <charset val="1"/>
      </rPr>
      <t xml:space="preserve">/ -</t>
    </r>
  </si>
  <si>
    <t xml:space="preserve">Dart</t>
  </si>
  <si>
    <t xml:space="preserve">2 - 18 - 19 - 36</t>
  </si>
  <si>
    <t xml:space="preserve">Elven Warbow</t>
  </si>
  <si>
    <t xml:space="preserve">2 - 48 - 49 - 96</t>
  </si>
  <si>
    <t xml:space="preserve">12 / 15</t>
  </si>
  <si>
    <t xml:space="preserve">Flight Dagger</t>
  </si>
  <si>
    <t xml:space="preserve">2 - 20 - 21 - 40</t>
  </si>
  <si>
    <t xml:space="preserve">Hawk Hatchet</t>
  </si>
  <si>
    <t xml:space="preserve">2 - 24 - 25 - 48</t>
  </si>
  <si>
    <t xml:space="preserve">Light Crossbow</t>
  </si>
  <si>
    <t xml:space="preserve">2 - 32 - 33 - 64</t>
  </si>
  <si>
    <t xml:space="preserve">Longbow</t>
  </si>
  <si>
    <t xml:space="preserve">2 - 40 - 41 - 80</t>
  </si>
  <si>
    <t xml:space="preserve">11 / 13</t>
  </si>
  <si>
    <t xml:space="preserve">Medium Crossbow</t>
  </si>
  <si>
    <t xml:space="preserve">Mini Crossbow</t>
  </si>
  <si>
    <t xml:space="preserve">2 - 12 - 13 - 24 </t>
  </si>
  <si>
    <t xml:space="preserve">Net</t>
  </si>
  <si>
    <t xml:space="preserve">2 - 6 - 7 - 12</t>
  </si>
  <si>
    <t xml:space="preserve">4 / 9</t>
  </si>
  <si>
    <t xml:space="preserve">Servos Blowgun</t>
  </si>
  <si>
    <t xml:space="preserve">2 - 16 - 17 - 32 </t>
  </si>
  <si>
    <t xml:space="preserve">Short Bow</t>
  </si>
  <si>
    <t xml:space="preserve">2 - 30 - 31 - 60</t>
  </si>
  <si>
    <t xml:space="preserve">Sling</t>
  </si>
  <si>
    <t xml:space="preserve">Thowing Axe</t>
  </si>
  <si>
    <t xml:space="preserve">Throwing Dagger</t>
  </si>
  <si>
    <t xml:space="preserve">2 - 16 - 17 - 32</t>
  </si>
  <si>
    <t xml:space="preserve">Throwing Net</t>
  </si>
  <si>
    <t xml:space="preserve">Troll Sling</t>
  </si>
  <si>
    <t xml:space="preserve">Windling Bow</t>
  </si>
  <si>
    <t xml:space="preserve">Windling Net</t>
  </si>
  <si>
    <t xml:space="preserve">ARMORS &amp; SHIELDS</t>
  </si>
  <si>
    <t xml:space="preserve">Phys</t>
  </si>
  <si>
    <t xml:space="preserve">Mystic</t>
  </si>
  <si>
    <t xml:space="preserve">Init</t>
  </si>
  <si>
    <t xml:space="preserve">Wgt</t>
  </si>
  <si>
    <t xml:space="preserve">Blood</t>
  </si>
  <si>
    <t xml:space="preserve">BLOOD CHARMS</t>
  </si>
  <si>
    <t xml:space="preserve">Worn</t>
  </si>
  <si>
    <t xml:space="preserve">DR</t>
  </si>
  <si>
    <t xml:space="preserve">BLOOD MAGIC</t>
  </si>
  <si>
    <t xml:space="preserve">LANGUAGES</t>
  </si>
  <si>
    <t xml:space="preserve">Speak</t>
  </si>
  <si>
    <t xml:space="preserve">Write</t>
  </si>
  <si>
    <t xml:space="preserve">Padded Cloth</t>
  </si>
  <si>
    <t xml:space="preserve">Absorb Blow</t>
  </si>
  <si>
    <t xml:space="preserve">Dwarven</t>
  </si>
  <si>
    <t xml:space="preserve">Leather</t>
  </si>
  <si>
    <t xml:space="preserve">Astral Sensitive Eye</t>
  </si>
  <si>
    <t xml:space="preserve">Sperethiel (Elven)</t>
  </si>
  <si>
    <t xml:space="preserve">Padded Leather</t>
  </si>
  <si>
    <t xml:space="preserve">Bind Will</t>
  </si>
  <si>
    <t xml:space="preserve">Hardened Leather</t>
  </si>
  <si>
    <t xml:space="preserve">Blood Crystal Nail</t>
  </si>
  <si>
    <t xml:space="preserve">Obsidiman</t>
  </si>
  <si>
    <t xml:space="preserve">Hide Armor</t>
  </si>
  <si>
    <t xml:space="preserve">Blood Fingers</t>
  </si>
  <si>
    <t xml:space="preserve">Or'zet (Ork)</t>
  </si>
  <si>
    <t xml:space="preserve">Obsidiman Skin</t>
  </si>
  <si>
    <t xml:space="preserve">Blood Karma</t>
  </si>
  <si>
    <t xml:space="preserve">T'skrang</t>
  </si>
  <si>
    <t xml:space="preserve">Ring Mail</t>
  </si>
  <si>
    <t xml:space="preserve">Blood Knuckles</t>
  </si>
  <si>
    <t xml:space="preserve">Troll</t>
  </si>
  <si>
    <t xml:space="preserve">Fernweave</t>
  </si>
  <si>
    <t xml:space="preserve">Blood Matrix (Normal)</t>
  </si>
  <si>
    <t xml:space="preserve">Windling</t>
  </si>
  <si>
    <t xml:space="preserve">Chain Mail</t>
  </si>
  <si>
    <t xml:space="preserve">Blood Matrix (Enhanced)</t>
  </si>
  <si>
    <t xml:space="preserve">Theran</t>
  </si>
  <si>
    <t xml:space="preserve">Blood Pebble</t>
  </si>
  <si>
    <t xml:space="preserve">Blood Matrix (Armored)</t>
  </si>
  <si>
    <t xml:space="preserve">Crystal Ringlet</t>
  </si>
  <si>
    <t xml:space="preserve">Blood Toes</t>
  </si>
  <si>
    <t xml:space="preserve">Living Crystal</t>
  </si>
  <si>
    <t xml:space="preserve">Blood Weapon</t>
  </si>
  <si>
    <t xml:space="preserve">MONEY</t>
  </si>
  <si>
    <t xml:space="preserve">Plate Mail</t>
  </si>
  <si>
    <t xml:space="preserve">Bone Charm (Common)</t>
  </si>
  <si>
    <t xml:space="preserve">Copper</t>
  </si>
  <si>
    <t xml:space="preserve">Crystal Plate</t>
  </si>
  <si>
    <t xml:space="preserve">Bone Charm (Shaped)</t>
  </si>
  <si>
    <t xml:space="preserve">Silver</t>
  </si>
  <si>
    <t xml:space="preserve">Bark</t>
  </si>
  <si>
    <t xml:space="preserve">Crystal Arm</t>
  </si>
  <si>
    <t xml:space="preserve">Gold</t>
  </si>
  <si>
    <t xml:space="preserve">Living Hair Barding</t>
  </si>
  <si>
    <t xml:space="preserve">Crystal Spike</t>
  </si>
  <si>
    <t xml:space="preserve">2*</t>
  </si>
  <si>
    <t xml:space="preserve">Earth</t>
  </si>
  <si>
    <t xml:space="preserve">Wyvern-Skin</t>
  </si>
  <si>
    <t xml:space="preserve">Darksight Eye</t>
  </si>
  <si>
    <t xml:space="preserve">Water</t>
  </si>
  <si>
    <t xml:space="preserve">Bone Mail</t>
  </si>
  <si>
    <t xml:space="preserve">Death Cheat</t>
  </si>
  <si>
    <t xml:space="preserve">Air</t>
  </si>
  <si>
    <t xml:space="preserve">Skeleton</t>
  </si>
  <si>
    <t xml:space="preserve">Desperate Blow</t>
  </si>
  <si>
    <t xml:space="preserve">Fire</t>
  </si>
  <si>
    <t xml:space="preserve">Skora Mail</t>
  </si>
  <si>
    <t xml:space="preserve">Desperate Spell</t>
  </si>
  <si>
    <t xml:space="preserve">Orichalcum</t>
  </si>
  <si>
    <t xml:space="preserve">Stone Disk</t>
  </si>
  <si>
    <t xml:space="preserve">Dexterity Booster</t>
  </si>
  <si>
    <t xml:space="preserve">Other</t>
  </si>
  <si>
    <t xml:space="preserve">Stone Net</t>
  </si>
  <si>
    <t xml:space="preserve">Disturbing Appearance</t>
  </si>
  <si>
    <t xml:space="preserve">Thundra Skin</t>
  </si>
  <si>
    <t xml:space="preserve">Dulcet Throat</t>
  </si>
  <si>
    <t xml:space="preserve">Trim Wood</t>
  </si>
  <si>
    <t xml:space="preserve">Elemental  Fend (Air)</t>
  </si>
  <si>
    <t xml:space="preserve">VALUABLES</t>
  </si>
  <si>
    <t xml:space="preserve">Wood Tile</t>
  </si>
  <si>
    <t xml:space="preserve">Elemental  Fend (Earth)</t>
  </si>
  <si>
    <t xml:space="preserve">Espagra-Scale Cloak</t>
  </si>
  <si>
    <t xml:space="preserve">Elemental  Fend (Fire)</t>
  </si>
  <si>
    <t xml:space="preserve">Elemental  Fend (Water)</t>
  </si>
  <si>
    <t xml:space="preserve">Buckler</t>
  </si>
  <si>
    <t xml:space="preserve">Elemental  Fend (Wood)</t>
  </si>
  <si>
    <t xml:space="preserve">Crystal Buckler</t>
  </si>
  <si>
    <t xml:space="preserve">Garlen Stone</t>
  </si>
  <si>
    <t xml:space="preserve">Heat Sight Eye</t>
  </si>
  <si>
    <t xml:space="preserve">Ferndask</t>
  </si>
  <si>
    <t xml:space="preserve">Horn Needle</t>
  </si>
  <si>
    <t xml:space="preserve">Footman's Shield</t>
  </si>
  <si>
    <t xml:space="preserve">Horror Fend</t>
  </si>
  <si>
    <t xml:space="preserve">Rider's Shield</t>
  </si>
  <si>
    <t xml:space="preserve">Initiative Booster</t>
  </si>
  <si>
    <t xml:space="preserve">Crystal Raider Shield</t>
  </si>
  <si>
    <t xml:space="preserve">Karma</t>
  </si>
  <si>
    <t xml:space="preserve">Body Shield</t>
  </si>
  <si>
    <t xml:space="preserve">Karma Absorber</t>
  </si>
  <si>
    <t xml:space="preserve">Threaded Armour Kravrolin</t>
  </si>
  <si>
    <t xml:space="preserve">Poison Sac</t>
  </si>
  <si>
    <t xml:space="preserve">Potion Charm</t>
  </si>
  <si>
    <t xml:space="preserve">Spore Glands</t>
  </si>
  <si>
    <t xml:space="preserve">Strength Booster</t>
  </si>
  <si>
    <t xml:space="preserve">Targeting Eye</t>
  </si>
  <si>
    <t xml:space="preserve">Trap Initiative Booster</t>
  </si>
  <si>
    <t xml:space="preserve">Wings of Fire</t>
  </si>
  <si>
    <t xml:space="preserve">CLOTHING</t>
  </si>
  <si>
    <t xml:space="preserve">Peasant's Garb</t>
  </si>
  <si>
    <t xml:space="preserve">Brooch, Gold</t>
  </si>
  <si>
    <t xml:space="preserve">Hat, Felt</t>
  </si>
  <si>
    <t xml:space="preserve">Shirt, Plain</t>
  </si>
  <si>
    <t xml:space="preserve">Peasant's Robes</t>
  </si>
  <si>
    <t xml:space="preserve">Brooch, Cloaksense</t>
  </si>
  <si>
    <t xml:space="preserve">Hat, Woolen cap</t>
  </si>
  <si>
    <t xml:space="preserve">Shirt, Patterned</t>
  </si>
  <si>
    <t xml:space="preserve">Traveler's Garb</t>
  </si>
  <si>
    <t xml:space="preserve">Cloak, Wool</t>
  </si>
  <si>
    <t xml:space="preserve">Hat, One-size</t>
  </si>
  <si>
    <t xml:space="preserve">Shirt, Silk</t>
  </si>
  <si>
    <t xml:space="preserve">Traveler's Robes</t>
  </si>
  <si>
    <t xml:space="preserve">Cloak, Silk</t>
  </si>
  <si>
    <t xml:space="preserve">Hat, Fine Quality</t>
  </si>
  <si>
    <t xml:space="preserve">Shoes, Merchant's</t>
  </si>
  <si>
    <t xml:space="preserve">Wealthy Traveler's Garb</t>
  </si>
  <si>
    <t xml:space="preserve">Cloak, Fur-trimmed</t>
  </si>
  <si>
    <t xml:space="preserve">Hat, Courtier Quality</t>
  </si>
  <si>
    <t xml:space="preserve">Shoes, Courtier's</t>
  </si>
  <si>
    <t xml:space="preserve">Wealthy Traveler's Robes</t>
  </si>
  <si>
    <t xml:space="preserve">Cloak, Espagra-scale</t>
  </si>
  <si>
    <t xml:space="preserve">Hooded mask</t>
  </si>
  <si>
    <t xml:space="preserve">Scarf</t>
  </si>
  <si>
    <t xml:space="preserve">Belt</t>
  </si>
  <si>
    <t xml:space="preserve">Cloak, Dwarf Winternight</t>
  </si>
  <si>
    <t xml:space="preserve">Hosiery, Plain</t>
  </si>
  <si>
    <t xml:space="preserve">Scabbard</t>
  </si>
  <si>
    <t xml:space="preserve">Boots, Soft</t>
  </si>
  <si>
    <t xml:space="preserve">Cloak, Theran</t>
  </si>
  <si>
    <t xml:space="preserve">Hosiery, Silk</t>
  </si>
  <si>
    <t xml:space="preserve">Toga</t>
  </si>
  <si>
    <t xml:space="preserve">Boots, Riding</t>
  </si>
  <si>
    <t xml:space="preserve">Dress, Plain</t>
  </si>
  <si>
    <t xml:space="preserve">Jacket, Wool</t>
  </si>
  <si>
    <t xml:space="preserve">Tunic</t>
  </si>
  <si>
    <t xml:space="preserve">Boots, Mountain</t>
  </si>
  <si>
    <t xml:space="preserve">Dress, Patterned</t>
  </si>
  <si>
    <t xml:space="preserve">Jacket, Silk</t>
  </si>
  <si>
    <t xml:space="preserve">Breeches, Peasant's</t>
  </si>
  <si>
    <t xml:space="preserve">Dress, Embroidered</t>
  </si>
  <si>
    <t xml:space="preserve">Jacket, Courtier's</t>
  </si>
  <si>
    <t xml:space="preserve">Breeches, Merchant's</t>
  </si>
  <si>
    <t xml:space="preserve">Dress, Satin</t>
  </si>
  <si>
    <t xml:space="preserve">Pin</t>
  </si>
  <si>
    <t xml:space="preserve">Breeches, Guild member's</t>
  </si>
  <si>
    <t xml:space="preserve">Dress, Ballroom gown</t>
  </si>
  <si>
    <t xml:space="preserve">Robe, Linen</t>
  </si>
  <si>
    <t xml:space="preserve">Brooch, Plain brass</t>
  </si>
  <si>
    <t xml:space="preserve">Dress, Theran</t>
  </si>
  <si>
    <t xml:space="preserve">Robe, Embroidered</t>
  </si>
  <si>
    <t xml:space="preserve">Brooch, Ornamental</t>
  </si>
  <si>
    <t xml:space="preserve">Gloves, Leather</t>
  </si>
  <si>
    <t xml:space="preserve">Robe, Elfweave</t>
  </si>
  <si>
    <t xml:space="preserve">Brooch, Silver</t>
  </si>
  <si>
    <t xml:space="preserve">Gloves, Quiet Fingers</t>
  </si>
  <si>
    <t xml:space="preserve">Sandals</t>
  </si>
  <si>
    <t xml:space="preserve">ADVENTURING EQUIPMENT</t>
  </si>
  <si>
    <t xml:space="preserve">Qty</t>
  </si>
  <si>
    <t xml:space="preserve">PROVISIONS</t>
  </si>
  <si>
    <t xml:space="preserve">ARTISAN TOOLS AND INSTRUMENTS</t>
  </si>
  <si>
    <t xml:space="preserve">Adventurer's Kit</t>
  </si>
  <si>
    <t xml:space="preserve">Trail Rations (week)</t>
  </si>
  <si>
    <t xml:space="preserve">Artisan tools for Carving</t>
  </si>
  <si>
    <t xml:space="preserve">Adventurer's Kit w/Tent</t>
  </si>
  <si>
    <t xml:space="preserve">Dwarf Mine Rations (week)</t>
  </si>
  <si>
    <t xml:space="preserve">Artisan tools for Embroidery</t>
  </si>
  <si>
    <t xml:space="preserve">Backpack</t>
  </si>
  <si>
    <t xml:space="preserve">Bottle of Wine</t>
  </si>
  <si>
    <t xml:space="preserve">Artisan tools for Painting</t>
  </si>
  <si>
    <t xml:space="preserve">Bedroll</t>
  </si>
  <si>
    <t xml:space="preserve">Bottle of Fine Wine</t>
  </si>
  <si>
    <t xml:space="preserve">Artisan tools for Sculpting</t>
  </si>
  <si>
    <t xml:space="preserve">Belt Pouch</t>
  </si>
  <si>
    <t xml:space="preserve">Waterskin</t>
  </si>
  <si>
    <t xml:space="preserve">Musical instrument, Whistle</t>
  </si>
  <si>
    <t xml:space="preserve">Blanket</t>
  </si>
  <si>
    <t xml:space="preserve">Wineskin</t>
  </si>
  <si>
    <t xml:space="preserve">Musical instrument, Flute</t>
  </si>
  <si>
    <t xml:space="preserve">Candle</t>
  </si>
  <si>
    <t xml:space="preserve">Musical instrument, Drum</t>
  </si>
  <si>
    <t xml:space="preserve">Chain, Light</t>
  </si>
  <si>
    <t xml:space="preserve">Musical instrument, Lute</t>
  </si>
  <si>
    <t xml:space="preserve">Chain, Heavy</t>
  </si>
  <si>
    <t xml:space="preserve">Musical instrument, Horn</t>
  </si>
  <si>
    <t xml:space="preserve">Chalk (5-piece box)</t>
  </si>
  <si>
    <t xml:space="preserve">Fishhook</t>
  </si>
  <si>
    <t xml:space="preserve">Fishnet (5 sq. ft.)</t>
  </si>
  <si>
    <t xml:space="preserve">Flint and Steel</t>
  </si>
  <si>
    <t xml:space="preserve">HEALING AIDS</t>
  </si>
  <si>
    <t xml:space="preserve">Forge Tools</t>
  </si>
  <si>
    <t xml:space="preserve">Anti-Sporific</t>
  </si>
  <si>
    <t xml:space="preserve">Grappling Hook</t>
  </si>
  <si>
    <t xml:space="preserve">Booster Potion</t>
  </si>
  <si>
    <t xml:space="preserve">Healer Kit</t>
  </si>
  <si>
    <t xml:space="preserve">(3 applications)</t>
  </si>
  <si>
    <t xml:space="preserve">Brew of the Berserkers</t>
  </si>
  <si>
    <t xml:space="preserve">MAGICAL EQUIPMENT</t>
  </si>
  <si>
    <t xml:space="preserve">Healer Kit, refill</t>
  </si>
  <si>
    <t xml:space="preserve">Bug Repellent</t>
  </si>
  <si>
    <t xml:space="preserve">Amulet of the Eye</t>
  </si>
  <si>
    <t xml:space="preserve">*</t>
  </si>
  <si>
    <t xml:space="preserve">Iron Pot</t>
  </si>
  <si>
    <t xml:space="preserve">Cleanse Poison Potion</t>
  </si>
  <si>
    <t xml:space="preserve">Arrow of the Assassin</t>
  </si>
  <si>
    <t xml:space="preserve">Lantern, Hooded</t>
  </si>
  <si>
    <t xml:space="preserve">Confidense Booster</t>
  </si>
  <si>
    <t xml:space="preserve">Bedroll of Comfort</t>
  </si>
  <si>
    <t xml:space="preserve">Lantern, Bull's Eye</t>
  </si>
  <si>
    <t xml:space="preserve">Cure Disease Potion</t>
  </si>
  <si>
    <t xml:space="preserve">Boots, Dry</t>
  </si>
  <si>
    <t xml:space="preserve">Lantern, Light Quartz</t>
  </si>
  <si>
    <t xml:space="preserve">Equilibria</t>
  </si>
  <si>
    <t xml:space="preserve">Cleaning Broom</t>
  </si>
  <si>
    <t xml:space="preserve">Map/scroll Case</t>
  </si>
  <si>
    <t xml:space="preserve">Fire Water</t>
  </si>
  <si>
    <t xml:space="preserve">Cloak, Everclean</t>
  </si>
  <si>
    <t xml:space="preserve">Oil flask</t>
  </si>
  <si>
    <t xml:space="preserve">Halt Illness Potion</t>
  </si>
  <si>
    <t xml:space="preserve">Clingor Rope, per end*</t>
  </si>
  <si>
    <t xml:space="preserve">Paper</t>
  </si>
  <si>
    <t xml:space="preserve">Healing Potion</t>
  </si>
  <si>
    <t xml:space="preserve">Cloak, Warm</t>
  </si>
  <si>
    <t xml:space="preserve">Piton</t>
  </si>
  <si>
    <t xml:space="preserve">Ice Water</t>
  </si>
  <si>
    <t xml:space="preserve">Dry Bag</t>
  </si>
  <si>
    <t xml:space="preserve">Quill-pen</t>
  </si>
  <si>
    <t xml:space="preserve">Kelia's Antidote</t>
  </si>
  <si>
    <t xml:space="preserve">Fire Starter</t>
  </si>
  <si>
    <t xml:space="preserve">Rope (10-foot length)</t>
  </si>
  <si>
    <t xml:space="preserve">Kelix's Poultice</t>
  </si>
  <si>
    <t xml:space="preserve">Firefly Chalk (stick)</t>
  </si>
  <si>
    <t xml:space="preserve">Rope (25-foot length)</t>
  </si>
  <si>
    <t xml:space="preserve">Last Chance Salve</t>
  </si>
  <si>
    <t xml:space="preserve">Floating Chair</t>
  </si>
  <si>
    <t xml:space="preserve">Rope (50-foot length)</t>
  </si>
  <si>
    <t xml:space="preserve">Quicksilver</t>
  </si>
  <si>
    <t xml:space="preserve">Floating Chair, Large</t>
  </si>
  <si>
    <t xml:space="preserve">Sack, Large</t>
  </si>
  <si>
    <t xml:space="preserve">Resist Disease Potion</t>
  </si>
  <si>
    <t xml:space="preserve">Ground Boots</t>
  </si>
  <si>
    <t xml:space="preserve">Sack, Small</t>
  </si>
  <si>
    <t xml:space="preserve">Resist Poison Potion</t>
  </si>
  <si>
    <t xml:space="preserve">Hambrell's Contract</t>
  </si>
  <si>
    <t xml:space="preserve">Tent (two-person)</t>
  </si>
  <si>
    <t xml:space="preserve">Salve of Closure</t>
  </si>
  <si>
    <t xml:space="preserve">Heat Stone</t>
  </si>
  <si>
    <t xml:space="preserve">Thieves' Picks and Tools</t>
  </si>
  <si>
    <t xml:space="preserve">Hot Pot</t>
  </si>
  <si>
    <t xml:space="preserve">Torch</t>
  </si>
  <si>
    <t xml:space="preserve">Light Bag</t>
  </si>
  <si>
    <t xml:space="preserve">Whetstone</t>
  </si>
  <si>
    <t xml:space="preserve">Light Quartz, Large</t>
  </si>
  <si>
    <t xml:space="preserve">Writing-ink Vial (10 pages)</t>
  </si>
  <si>
    <t xml:space="preserve">THREAD OBJECTS</t>
  </si>
  <si>
    <t xml:space="preserve">Light Quartz, Medium</t>
  </si>
  <si>
    <t xml:space="preserve">Amulet</t>
  </si>
  <si>
    <t xml:space="preserve">Light Quartz, Small</t>
  </si>
  <si>
    <t xml:space="preserve">Message Stone</t>
  </si>
  <si>
    <t xml:space="preserve">Boots</t>
  </si>
  <si>
    <t xml:space="preserve">Message Stone, Warded</t>
  </si>
  <si>
    <t xml:space="preserve">Bracers</t>
  </si>
  <si>
    <t xml:space="preserve">Night-black Blades</t>
  </si>
  <si>
    <t xml:space="preserve">Brooch</t>
  </si>
  <si>
    <t xml:space="preserve">Pot of Grumbah, Large</t>
  </si>
  <si>
    <t xml:space="preserve">Cloak</t>
  </si>
  <si>
    <t xml:space="preserve">Pot of Grumbah, Small</t>
  </si>
  <si>
    <t xml:space="preserve">Crystal  Box</t>
  </si>
  <si>
    <t xml:space="preserve">Quiet Pouch</t>
  </si>
  <si>
    <t xml:space="preserve">Forest Robes</t>
  </si>
  <si>
    <t xml:space="preserve">Scaless Pouch</t>
  </si>
  <si>
    <t xml:space="preserve">Gauntlets</t>
  </si>
  <si>
    <t xml:space="preserve">Season Lamp</t>
  </si>
  <si>
    <t xml:space="preserve">Lightning-Bolt Earrings</t>
  </si>
  <si>
    <t xml:space="preserve">Smike Cloak</t>
  </si>
  <si>
    <t xml:space="preserve">Map of Location</t>
  </si>
  <si>
    <t xml:space="preserve">Smoke Bombs</t>
  </si>
  <si>
    <t xml:space="preserve">Naga-Scale Brooch</t>
  </si>
  <si>
    <t xml:space="preserve">Spider Gloves and Slippers</t>
  </si>
  <si>
    <t xml:space="preserve">Ring</t>
  </si>
  <si>
    <t xml:space="preserve">Talisman, Circle Five</t>
  </si>
  <si>
    <t xml:space="preserve">Ring of Accuracy</t>
  </si>
  <si>
    <t xml:space="preserve">Talisman, Circle Four</t>
  </si>
  <si>
    <t xml:space="preserve">Spell Matrix Object</t>
  </si>
  <si>
    <t xml:space="preserve">Talisman, Circle One</t>
  </si>
  <si>
    <t xml:space="preserve">Vial</t>
  </si>
  <si>
    <t xml:space="preserve">Talisman, Circle Three</t>
  </si>
  <si>
    <t xml:space="preserve">Wand</t>
  </si>
  <si>
    <t xml:space="preserve">Talisman, Circle Two</t>
  </si>
  <si>
    <t xml:space="preserve">Wyvernskin Robes</t>
  </si>
  <si>
    <t xml:space="preserve">Theft-Proof Pouch</t>
  </si>
  <si>
    <t xml:space="preserve">Traveler's Mug</t>
  </si>
  <si>
    <t xml:space="preserve">Upandal's Blessing</t>
  </si>
  <si>
    <t xml:space="preserve">Volus Brooch</t>
  </si>
  <si>
    <t xml:space="preserve">Wind Instrument</t>
  </si>
  <si>
    <t xml:space="preserve">MAGICAL TREASURE</t>
  </si>
  <si>
    <t xml:space="preserve">Value (silver)</t>
  </si>
  <si>
    <t xml:space="preserve">PERSONALITY TRAITS</t>
  </si>
  <si>
    <t xml:space="preserve">Moral Code</t>
  </si>
  <si>
    <t xml:space="preserve">Personal Qualities</t>
  </si>
  <si>
    <t xml:space="preserve">Spiritual View</t>
  </si>
  <si>
    <t xml:space="preserve">HISTORY AND BACKGROUND NOTES</t>
  </si>
  <si>
    <t xml:space="preserve">Personal Hang-ups</t>
  </si>
  <si>
    <t xml:space="preserve">Loves</t>
  </si>
  <si>
    <t xml:space="preserve">MISCELLANEOUS NOTES</t>
  </si>
  <si>
    <t xml:space="preserve">Hates</t>
  </si>
  <si>
    <t xml:space="preserve">QUIRKS AND QUOTES</t>
  </si>
  <si>
    <t xml:space="preserve">EARNED LEGEND POINTS</t>
  </si>
  <si>
    <t xml:space="preserve">SPENT LEGEND POINTS</t>
  </si>
  <si>
    <t xml:space="preserve">MOUNT/ANIMAL COMPANION</t>
  </si>
  <si>
    <t xml:space="preserve">Date</t>
  </si>
  <si>
    <t xml:space="preserve">Description of events</t>
  </si>
  <si>
    <t xml:space="preserve">Amount</t>
  </si>
  <si>
    <t xml:space="preserve">120914</t>
  </si>
  <si>
    <t xml:space="preserve">początek</t>
  </si>
  <si>
    <t xml:space="preserve">061216</t>
  </si>
  <si>
    <t xml:space="preserve">Thraol na skarju wojny + 1000 PL</t>
  </si>
  <si>
    <t xml:space="preserve">Race/Species</t>
  </si>
  <si>
    <t xml:space="preserve">111014</t>
  </si>
  <si>
    <t xml:space="preserve">Pachnidło cz1</t>
  </si>
  <si>
    <t xml:space="preserve">090117</t>
  </si>
  <si>
    <t xml:space="preserve">Zaginione galeony</t>
  </si>
  <si>
    <t xml:space="preserve">071114</t>
  </si>
  <si>
    <t xml:space="preserve">Pachnidło cz1, 2 sesje</t>
  </si>
  <si>
    <t xml:space="preserve">100217</t>
  </si>
  <si>
    <t xml:space="preserve">121114</t>
  </si>
  <si>
    <t xml:space="preserve">Pachnidło cz1, 3 sesja</t>
  </si>
  <si>
    <t xml:space="preserve">030317</t>
  </si>
  <si>
    <t xml:space="preserve">Umarl król</t>
  </si>
  <si>
    <t xml:space="preserve">261114</t>
  </si>
  <si>
    <t xml:space="preserve">Pachnidło cz1, 4 sesja</t>
  </si>
  <si>
    <t xml:space="preserve">070417</t>
  </si>
  <si>
    <t xml:space="preserve">Umarl król 2</t>
  </si>
  <si>
    <t xml:space="preserve">101214</t>
  </si>
  <si>
    <t xml:space="preserve">Pachnidło cz2 1 sesja</t>
  </si>
  <si>
    <t xml:space="preserve">061017</t>
  </si>
  <si>
    <t xml:space="preserve">Umarł król 3</t>
  </si>
  <si>
    <t xml:space="preserve">Wilpower</t>
  </si>
  <si>
    <t xml:space="preserve">221214</t>
  </si>
  <si>
    <t xml:space="preserve">Pachnidło cz2 2 sesja</t>
  </si>
  <si>
    <t xml:space="preserve">031117</t>
  </si>
  <si>
    <t xml:space="preserve">Dziedzic czy uzurpator</t>
  </si>
  <si>
    <t xml:space="preserve">050115</t>
  </si>
  <si>
    <t xml:space="preserve">Pachnidło cz2 3 sesja</t>
  </si>
  <si>
    <t xml:space="preserve">011217</t>
  </si>
  <si>
    <t xml:space="preserve">Śmierć Therze! 1</t>
  </si>
  <si>
    <t xml:space="preserve">#Attacks</t>
  </si>
  <si>
    <t xml:space="preserve">280115</t>
  </si>
  <si>
    <t xml:space="preserve">Pachnidło cz2 4 sesja</t>
  </si>
  <si>
    <t xml:space="preserve">081217</t>
  </si>
  <si>
    <t xml:space="preserve">Śmierć Therze! 2</t>
  </si>
  <si>
    <t xml:space="preserve">Attack</t>
  </si>
  <si>
    <t xml:space="preserve">Knockdown</t>
  </si>
  <si>
    <t xml:space="preserve">040215</t>
  </si>
  <si>
    <t xml:space="preserve">Pachnidło cz3 1 sesja</t>
  </si>
  <si>
    <t xml:space="preserve">120118</t>
  </si>
  <si>
    <t xml:space="preserve">Kwestia zaufania</t>
  </si>
  <si>
    <t xml:space="preserve">Damage</t>
  </si>
  <si>
    <t xml:space="preserve">Unconscious Rating</t>
  </si>
  <si>
    <t xml:space="preserve">180315</t>
  </si>
  <si>
    <t xml:space="preserve">Pachnidło cz3 2 sesja</t>
  </si>
  <si>
    <t xml:space="preserve">160218</t>
  </si>
  <si>
    <t xml:space="preserve">Kwestia zaufania2</t>
  </si>
  <si>
    <t xml:space="preserve">#Spells</t>
  </si>
  <si>
    <t xml:space="preserve">Death Rating</t>
  </si>
  <si>
    <t xml:space="preserve">010415</t>
  </si>
  <si>
    <t xml:space="preserve">Pachnidło cz3 3 sesja</t>
  </si>
  <si>
    <t xml:space="preserve">060418</t>
  </si>
  <si>
    <t xml:space="preserve">Smocze sprawki</t>
  </si>
  <si>
    <t xml:space="preserve">Spellcasting</t>
  </si>
  <si>
    <t xml:space="preserve">Combat Movement</t>
  </si>
  <si>
    <t xml:space="preserve">150415</t>
  </si>
  <si>
    <t xml:space="preserve">Pachnidło cz3 4 sesja</t>
  </si>
  <si>
    <t xml:space="preserve">040618</t>
  </si>
  <si>
    <t xml:space="preserve">Na tropach Aardelei</t>
  </si>
  <si>
    <t xml:space="preserve">Effect</t>
  </si>
  <si>
    <t xml:space="preserve">Full Movement</t>
  </si>
  <si>
    <t xml:space="preserve">290415</t>
  </si>
  <si>
    <t xml:space="preserve">Pachnidło final 1</t>
  </si>
  <si>
    <t xml:space="preserve">230618</t>
  </si>
  <si>
    <t xml:space="preserve">Wizyta w Hanto</t>
  </si>
  <si>
    <t xml:space="preserve">Karma Step</t>
  </si>
  <si>
    <t xml:space="preserve">130515</t>
  </si>
  <si>
    <t xml:space="preserve">261018</t>
  </si>
  <si>
    <t xml:space="preserve">Księżycowa Włócznia</t>
  </si>
  <si>
    <t xml:space="preserve">Notes, Skills, and Powers</t>
  </si>
  <si>
    <t xml:space="preserve">100615</t>
  </si>
  <si>
    <t xml:space="preserve">Strzaskany na horyzoncie</t>
  </si>
  <si>
    <t xml:space="preserve">091118</t>
  </si>
  <si>
    <t xml:space="preserve">Nocny Atak</t>
  </si>
  <si>
    <t xml:space="preserve">190815</t>
  </si>
  <si>
    <t xml:space="preserve">Strzaskany - Orric</t>
  </si>
  <si>
    <t xml:space="preserve">301118</t>
  </si>
  <si>
    <t xml:space="preserve">W pogoni za Heferą</t>
  </si>
  <si>
    <t xml:space="preserve">260815</t>
  </si>
  <si>
    <t xml:space="preserve">141218</t>
  </si>
  <si>
    <t xml:space="preserve">Niefortunne odkrycie</t>
  </si>
  <si>
    <t xml:space="preserve">020915</t>
  </si>
  <si>
    <t xml:space="preserve">250119</t>
  </si>
  <si>
    <t xml:space="preserve">Niespodziewane Zakończenie</t>
  </si>
  <si>
    <t xml:space="preserve">071015</t>
  </si>
  <si>
    <t xml:space="preserve">Akcja z listami Hefery</t>
  </si>
  <si>
    <t xml:space="preserve">211015</t>
  </si>
  <si>
    <t xml:space="preserve">Strzaskany - wiedza</t>
  </si>
  <si>
    <t xml:space="preserve">041115</t>
  </si>
  <si>
    <t xml:space="preserve">Strzaskany - swiątynia</t>
  </si>
  <si>
    <t xml:space="preserve">181115</t>
  </si>
  <si>
    <t xml:space="preserve">Światynia Horrora II</t>
  </si>
  <si>
    <t xml:space="preserve">021215</t>
  </si>
  <si>
    <t xml:space="preserve">Światynia Horrora III</t>
  </si>
  <si>
    <t xml:space="preserve">161215</t>
  </si>
  <si>
    <t xml:space="preserve">Kaer Varenna I</t>
  </si>
  <si>
    <t xml:space="preserve">281215</t>
  </si>
  <si>
    <t xml:space="preserve">Kaer Varenna II</t>
  </si>
  <si>
    <t xml:space="preserve">060116</t>
  </si>
  <si>
    <t xml:space="preserve">Tyrlaan</t>
  </si>
  <si>
    <t xml:space="preserve">200116</t>
  </si>
  <si>
    <t xml:space="preserve">Trosk</t>
  </si>
  <si>
    <t xml:space="preserve">030216</t>
  </si>
  <si>
    <t xml:space="preserve">Butare</t>
  </si>
  <si>
    <t xml:space="preserve">040316</t>
  </si>
  <si>
    <t xml:space="preserve">Mathol i Vivane</t>
  </si>
  <si>
    <t xml:space="preserve">110516</t>
  </si>
  <si>
    <t xml:space="preserve">Vivane</t>
  </si>
  <si>
    <t xml:space="preserve">250516</t>
  </si>
  <si>
    <t xml:space="preserve">220616</t>
  </si>
  <si>
    <t xml:space="preserve">160916</t>
  </si>
  <si>
    <t xml:space="preserve">Ayodhya</t>
  </si>
  <si>
    <t xml:space="preserve">161008</t>
  </si>
  <si>
    <t xml:space="preserve">Na zwiadach</t>
  </si>
  <si>
    <t xml:space="preserve">161028</t>
  </si>
  <si>
    <t xml:space="preserve">Wokół Triumfa</t>
  </si>
  <si>
    <t xml:space="preserve">161110</t>
  </si>
  <si>
    <t xml:space="preserve">W sercub behemota</t>
  </si>
  <si>
    <t xml:space="preserve">Known Elementalist Spells</t>
  </si>
  <si>
    <t xml:space="preserve">Known Illusionist Spells</t>
  </si>
  <si>
    <t xml:space="preserve">Known Nethernamcer Spells</t>
  </si>
  <si>
    <t xml:space="preserve">Known Nethermancer Spells</t>
  </si>
  <si>
    <t xml:space="preserve">Known Wizard Spells</t>
  </si>
  <si>
    <t xml:space="preserve">Known Shaman Spells</t>
  </si>
  <si>
    <t xml:space="preserve">Known Weaponsmith Spells</t>
  </si>
  <si>
    <t xml:space="preserve">Below here are calculations only</t>
  </si>
  <si>
    <t xml:space="preserve">It is strongly recommended that you do not modify the cells in the following area unless you know what you are doing.</t>
  </si>
  <si>
    <t xml:space="preserve">Short</t>
  </si>
  <si>
    <t xml:space="preserve">Long</t>
  </si>
  <si>
    <t xml:space="preserve">A</t>
  </si>
  <si>
    <t xml:space="preserve">Air Sailing Action Test</t>
  </si>
  <si>
    <t xml:space="preserve">Dic1</t>
  </si>
  <si>
    <t xml:space="preserve">Dic2</t>
  </si>
  <si>
    <t xml:space="preserve">Dex</t>
  </si>
  <si>
    <t xml:space="preserve">Str</t>
  </si>
  <si>
    <t xml:space="preserve">Tou</t>
  </si>
  <si>
    <t xml:space="preserve">Per</t>
  </si>
  <si>
    <t xml:space="preserve">Wil</t>
  </si>
  <si>
    <t xml:space="preserve">Cha</t>
  </si>
  <si>
    <t xml:space="preserve">Move</t>
  </si>
  <si>
    <t xml:space="preserve">Special</t>
  </si>
  <si>
    <t xml:space="preserve">Die</t>
  </si>
  <si>
    <t xml:space="preserve">Start</t>
  </si>
  <si>
    <t xml:space="preserve">Max</t>
  </si>
  <si>
    <t xml:space="preserve">Fitting</t>
  </si>
  <si>
    <t xml:space="preserve">1H</t>
  </si>
  <si>
    <t xml:space="preserve">2H</t>
  </si>
  <si>
    <t xml:space="preserve">Min</t>
  </si>
  <si>
    <t xml:space="preserve">Missile</t>
  </si>
  <si>
    <t xml:space="preserve">L</t>
  </si>
  <si>
    <t xml:space="preserve">Damage with Tail</t>
  </si>
  <si>
    <t xml:space="preserve">T</t>
  </si>
  <si>
    <t xml:space="preserve">J</t>
  </si>
  <si>
    <t xml:space="preserve">Interaction Tests</t>
  </si>
  <si>
    <t xml:space="preserve">K</t>
  </si>
  <si>
    <t xml:space="preserve">Action Test made by Animal Companion</t>
  </si>
  <si>
    <t xml:space="preserve">Death</t>
  </si>
  <si>
    <t xml:space="preserve">Unc.</t>
  </si>
  <si>
    <t xml:space="preserve">Active</t>
  </si>
  <si>
    <t xml:space="preserve">Spec</t>
  </si>
  <si>
    <t xml:space="preserve">Thread</t>
  </si>
  <si>
    <t xml:space="preserve">Dice</t>
  </si>
  <si>
    <t xml:space="preserve">Show</t>
  </si>
  <si>
    <t xml:space="preserve">Circle</t>
  </si>
  <si>
    <t xml:space="preserve">Num</t>
  </si>
  <si>
    <t xml:space="preserve">ToShow</t>
  </si>
  <si>
    <t xml:space="preserve">Actions on Riverboats</t>
  </si>
  <si>
    <t xml:space="preserve">1st</t>
  </si>
  <si>
    <t xml:space="preserve">Elementalist</t>
  </si>
  <si>
    <t xml:space="preserve">Q</t>
  </si>
  <si>
    <t xml:space="preserve">Against Slaver or Slaver Abilities</t>
  </si>
  <si>
    <t xml:space="preserve">2nd</t>
  </si>
  <si>
    <t xml:space="preserve">Illusionist</t>
  </si>
  <si>
    <t xml:space="preserve">R</t>
  </si>
  <si>
    <t xml:space="preserve">Recovery</t>
  </si>
  <si>
    <t xml:space="preserve">V</t>
  </si>
  <si>
    <t xml:space="preserve">Knowledge Tests</t>
  </si>
  <si>
    <t xml:space="preserve">Lo</t>
  </si>
  <si>
    <t xml:space="preserve">Nethermancer</t>
  </si>
  <si>
    <t xml:space="preserve">F</t>
  </si>
  <si>
    <t xml:space="preserve">Spell Effect</t>
  </si>
  <si>
    <t xml:space="preserve">Gather info where smell supliments</t>
  </si>
  <si>
    <t xml:space="preserve">Hi</t>
  </si>
  <si>
    <t xml:space="preserve">Wizard</t>
  </si>
  <si>
    <t xml:space="preserve">Wp</t>
  </si>
  <si>
    <t xml:space="preserve">M</t>
  </si>
  <si>
    <t xml:space="preserve">Mount's Actions and Damage Tests</t>
  </si>
  <si>
    <t xml:space="preserve">Shaman</t>
  </si>
  <si>
    <t xml:space="preserve">O</t>
  </si>
  <si>
    <t xml:space="preserve">Other Action Test</t>
  </si>
  <si>
    <t xml:space="preserve">Weaponsmith</t>
  </si>
  <si>
    <t xml:space="preserve">Spell Casting</t>
  </si>
  <si>
    <t xml:space="preserve">E</t>
  </si>
  <si>
    <t xml:space="preserve">Melee Damage</t>
  </si>
  <si>
    <t xml:space="preserve">Willforce</t>
  </si>
  <si>
    <t xml:space="preserve">G</t>
  </si>
  <si>
    <t xml:space="preserve">Controlled Spirit/Creature Actions</t>
  </si>
  <si>
    <t xml:space="preserve">IMPROVEMENT</t>
  </si>
  <si>
    <t xml:space="preserve">PD</t>
  </si>
  <si>
    <t xml:space="preserve">SD</t>
  </si>
  <si>
    <t xml:space="preserve">SOD</t>
  </si>
  <si>
    <t xml:space="preserve">INIT</t>
  </si>
  <si>
    <t xml:space="preserve">REC</t>
  </si>
  <si>
    <t xml:space="preserve">RecSt</t>
  </si>
  <si>
    <t xml:space="preserve">Wound</t>
  </si>
  <si>
    <t xml:space="preserve">PhysA</t>
  </si>
  <si>
    <t xml:space="preserve">MysA</t>
  </si>
  <si>
    <t xml:space="preserve">MaxK</t>
  </si>
  <si>
    <t xml:space="preserve">I</t>
  </si>
  <si>
    <t xml:space="preserve">Missile Damage</t>
  </si>
  <si>
    <t xml:space="preserve">Title1</t>
  </si>
  <si>
    <t xml:space="preserve">U</t>
  </si>
  <si>
    <t xml:space="preserve">Unarmed Damage</t>
  </si>
  <si>
    <t xml:space="preserve">Free Ranks</t>
  </si>
  <si>
    <t xml:space="preserve">B</t>
  </si>
  <si>
    <t xml:space="preserve">Tests vs. Enemy Social Defense</t>
  </si>
  <si>
    <t xml:space="preserve">any Damage Test</t>
  </si>
  <si>
    <t xml:space="preserve">Thread Rank</t>
  </si>
  <si>
    <t xml:space="preserve">Title2</t>
  </si>
  <si>
    <t xml:space="preserve">H</t>
  </si>
  <si>
    <t xml:space="preserve">Damage vs Horrors</t>
  </si>
  <si>
    <t xml:space="preserve">Z</t>
  </si>
  <si>
    <t xml:space="preserve">Resist Horror Power/attack</t>
  </si>
  <si>
    <t xml:space="preserve">Spec1</t>
  </si>
  <si>
    <t xml:space="preserve">Total:</t>
  </si>
  <si>
    <t xml:space="preserve">Spec2</t>
  </si>
  <si>
    <t xml:space="preserve">Talent</t>
  </si>
  <si>
    <t xml:space="preserve">Dicipl</t>
  </si>
  <si>
    <t xml:space="preserve">K/A/S</t>
  </si>
  <si>
    <t xml:space="preserve">Talents:</t>
  </si>
  <si>
    <t xml:space="preserve">Armors:</t>
  </si>
  <si>
    <t xml:space="preserve">Weapons:</t>
  </si>
  <si>
    <t xml:space="preserve">Show these spells</t>
  </si>
  <si>
    <t xml:space="preserve">Effect in words</t>
  </si>
  <si>
    <t xml:space="preserve">Thr:</t>
  </si>
  <si>
    <t xml:space="preserve">Skills:</t>
  </si>
  <si>
    <t xml:space="preserve">Knacks to offer:</t>
  </si>
  <si>
    <t xml:space="preserve">Knacks:</t>
  </si>
  <si>
    <t xml:space="preserve">Matrices:</t>
  </si>
  <si>
    <t xml:space="preserve">Items:</t>
  </si>
  <si>
    <t xml:space="preserve">Count</t>
  </si>
  <si>
    <t xml:space="preserve">Elem</t>
  </si>
  <si>
    <t xml:space="preserve">Ill</t>
  </si>
  <si>
    <t xml:space="preserve">Neth</t>
  </si>
  <si>
    <t xml:space="preserve">Wiz</t>
  </si>
  <si>
    <t xml:space="preserve">WepSmth</t>
  </si>
  <si>
    <t xml:space="preserve">Target</t>
  </si>
  <si>
    <t xml:space="preserve">Skill</t>
  </si>
  <si>
    <t xml:space="preserve">Atrib</t>
  </si>
  <si>
    <t xml:space="preserve">Knack</t>
  </si>
  <si>
    <t xml:space="preserve">Strain</t>
  </si>
  <si>
    <t xml:space="preserve">MinR</t>
  </si>
  <si>
    <t xml:space="preserve">Offer</t>
  </si>
  <si>
    <t xml:space="preserve">Src</t>
  </si>
  <si>
    <t xml:space="preserve">CumDam</t>
  </si>
  <si>
    <t xml:space="preserve">CumDR</t>
  </si>
  <si>
    <t xml:space="preserve">List</t>
  </si>
  <si>
    <t xml:space="preserve">applied</t>
  </si>
  <si>
    <t xml:space="preserve">show</t>
  </si>
  <si>
    <t xml:space="preserve">Matrix</t>
  </si>
  <si>
    <t xml:space="preserve">Org</t>
  </si>
  <si>
    <t xml:space="preserve">Comma</t>
  </si>
  <si>
    <t xml:space="preserve">Text</t>
  </si>
  <si>
    <t xml:space="preserve">language</t>
  </si>
  <si>
    <t xml:space="preserve">speak</t>
  </si>
  <si>
    <t xml:space="preserve">read</t>
  </si>
  <si>
    <t xml:space="preserve">knownS</t>
  </si>
  <si>
    <t xml:space="preserve">knownR</t>
  </si>
  <si>
    <t xml:space="preserve">showS</t>
  </si>
  <si>
    <t xml:space="preserve">showR</t>
  </si>
  <si>
    <t xml:space="preserve">Braiding Threads</t>
  </si>
  <si>
    <t xml:space="preserve">Spell Matrix A</t>
  </si>
  <si>
    <t xml:space="preserve">Spell Matrix</t>
  </si>
  <si>
    <t xml:space="preserve">Talent Linking</t>
  </si>
  <si>
    <t xml:space="preserve">Spell Matrix B</t>
  </si>
  <si>
    <t xml:space="preserve">Thread Masking</t>
  </si>
  <si>
    <t xml:space="preserve">Spell Matrix C</t>
  </si>
  <si>
    <t xml:space="preserve">Unraveling</t>
  </si>
  <si>
    <t xml:space="preserve">Spell Matrix D</t>
  </si>
  <si>
    <t xml:space="preserve">Enhanced Matrix A</t>
  </si>
  <si>
    <t xml:space="preserve">Enh. Matrix</t>
  </si>
  <si>
    <t xml:space="preserve">Enhanced Matrix B</t>
  </si>
  <si>
    <t xml:space="preserve">Armored Matrix A</t>
  </si>
  <si>
    <t xml:space="preserve">Arm. Matrix</t>
  </si>
  <si>
    <t xml:space="preserve">Armored Matrix B</t>
  </si>
  <si>
    <t xml:space="preserve">Armored Matrix C</t>
  </si>
  <si>
    <t xml:space="preserve">Shared Matrix A</t>
  </si>
  <si>
    <t xml:space="preserve">Share Matrix</t>
  </si>
  <si>
    <t xml:space="preserve">Shared Matrix B</t>
  </si>
  <si>
    <t xml:space="preserve">Shared Matrix C</t>
  </si>
  <si>
    <t xml:space="preserve">Earthdawn Character Sheet</t>
  </si>
  <si>
    <t xml:space="preserve">General Info</t>
  </si>
  <si>
    <t xml:space="preserve">Combat Statistics</t>
  </si>
  <si>
    <t xml:space="preserve"> Physical</t>
  </si>
  <si>
    <t xml:space="preserve"> Physical Defence Value</t>
  </si>
  <si>
    <t xml:space="preserve"> Spell Defence Value</t>
  </si>
  <si>
    <t xml:space="preserve"> Passion:</t>
  </si>
  <si>
    <t xml:space="preserve"> Social Defence Value</t>
  </si>
  <si>
    <t xml:space="preserve"> Normal / Mystic Armor</t>
  </si>
  <si>
    <t xml:space="preserve"> Mental</t>
  </si>
  <si>
    <t xml:space="preserve">Movement Rate in Hexes</t>
  </si>
  <si>
    <t xml:space="preserve"> Discipline</t>
  </si>
  <si>
    <t xml:space="preserve">Movement Rate in yards</t>
  </si>
  <si>
    <t xml:space="preserve"> Max. Carry/Max. Lift (lbs)</t>
  </si>
  <si>
    <t xml:space="preserve">Armor</t>
  </si>
  <si>
    <t xml:space="preserve"> Initiative</t>
  </si>
  <si>
    <t xml:space="preserve"> Current: 31</t>
  </si>
  <si>
    <t xml:space="preserve">Steps</t>
  </si>
  <si>
    <t xml:space="preserve">Talents</t>
  </si>
  <si>
    <t xml:space="preserve">Action</t>
  </si>
  <si>
    <t xml:space="preserve">Weapons</t>
  </si>
  <si>
    <t xml:space="preserve">Attack Step &amp; Dice</t>
  </si>
  <si>
    <t xml:space="preserve">Damage Step &amp; Dice</t>
  </si>
  <si>
    <t xml:space="preserve">Unarmed</t>
  </si>
  <si>
    <t xml:space="preserve">n/a</t>
  </si>
  <si>
    <t xml:space="preserve">Wounds</t>
  </si>
  <si>
    <t xml:space="preserve">Recovery Dice</t>
  </si>
  <si>
    <t xml:space="preserve">Racial Abilities</t>
  </si>
  <si>
    <t xml:space="preserve">Languages</t>
  </si>
  <si>
    <t xml:space="preserve">Legend &amp; Devotion Points</t>
  </si>
  <si>
    <t xml:space="preserve">Spoken</t>
  </si>
  <si>
    <t xml:space="preserve">Read</t>
  </si>
  <si>
    <t xml:space="preserve">Unspent</t>
  </si>
  <si>
    <t xml:space="preserve">Blood Magic (Oaths etc.)</t>
  </si>
  <si>
    <t xml:space="preserve">Lifetime Total</t>
  </si>
  <si>
    <t xml:space="preserve">Dmg</t>
  </si>
  <si>
    <t xml:space="preserve">Devotion Points:</t>
  </si>
  <si>
    <t xml:space="preserve">Armor &amp; Shield</t>
  </si>
  <si>
    <t xml:space="preserve">Armor Worn / Shield used</t>
  </si>
  <si>
    <t xml:space="preserve">Myst</t>
  </si>
  <si>
    <t xml:space="preserve">init</t>
  </si>
  <si>
    <t xml:space="preserve">weight</t>
  </si>
  <si>
    <t xml:space="preserve">Blood Charms</t>
  </si>
  <si>
    <t xml:space="preserve">Type</t>
  </si>
  <si>
    <t xml:space="preserve">asscociated talent</t>
  </si>
  <si>
    <t xml:space="preserve">DiscTal</t>
  </si>
  <si>
    <t xml:space="preserve">Success</t>
  </si>
  <si>
    <t xml:space="preserve">Threads Woven</t>
  </si>
  <si>
    <t xml:space="preserve">Currency</t>
  </si>
  <si>
    <t xml:space="preserve">1 / 10 </t>
  </si>
  <si>
    <t xml:space="preserve">1 </t>
  </si>
  <si>
    <t xml:space="preserve">10 </t>
  </si>
  <si>
    <t xml:space="preserve">100 </t>
  </si>
  <si>
    <t xml:space="preserve">1000 </t>
  </si>
  <si>
    <t xml:space="preserve">10000 </t>
  </si>
  <si>
    <t xml:space="preserve">Total coin weight:</t>
  </si>
  <si>
    <t xml:space="preserve">Item</t>
  </si>
  <si>
    <t xml:space="preserve">description</t>
  </si>
  <si>
    <t xml:space="preserve">Earthdawn Personality Expansion Sheet</t>
  </si>
  <si>
    <t xml:space="preserve">Modified by William Wychulis March 2010 (Created 2008 by Mattias Meldert &lt;mattias@meldert.com&gt; based on a design by William Arnold 1997)</t>
  </si>
  <si>
    <t xml:space="preserve">version 3.0</t>
  </si>
  <si>
    <t xml:space="preserve">Personality</t>
  </si>
  <si>
    <t xml:space="preserve">Appearance</t>
  </si>
  <si>
    <t xml:space="preserve">Personality Features</t>
  </si>
  <si>
    <t xml:space="preserve">Quirks &amp; qoutes</t>
  </si>
  <si>
    <t xml:space="preserve">Family &amp; Relatives</t>
  </si>
  <si>
    <t xml:space="preserve">Relation</t>
  </si>
  <si>
    <t xml:space="preserve">Occupation</t>
  </si>
  <si>
    <t xml:space="preserve">Background Story</t>
  </si>
  <si>
    <t xml:space="preserve">Misc. Notes</t>
  </si>
  <si>
    <t xml:space="preserve">Earthdawn Elementalist Spells Expansion</t>
  </si>
  <si>
    <t xml:space="preserve"> Name</t>
  </si>
  <si>
    <t xml:space="preserve">Cir</t>
  </si>
  <si>
    <t xml:space="preserve">Threads </t>
  </si>
  <si>
    <t xml:space="preserve">Weave</t>
  </si>
  <si>
    <t xml:space="preserve">Diff</t>
  </si>
  <si>
    <t xml:space="preserve">Duration</t>
  </si>
  <si>
    <t xml:space="preserve">Description</t>
  </si>
  <si>
    <t xml:space="preserve">Earthdawn Illusionist Spells Expansion</t>
  </si>
  <si>
    <t xml:space="preserve">Difficulty</t>
  </si>
  <si>
    <t xml:space="preserve">Earthdawn Nethermancer Spells Expansion</t>
  </si>
  <si>
    <t xml:space="preserve">Weaving</t>
  </si>
  <si>
    <t xml:space="preserve">Earthdawn Wizardry Spells Expansion</t>
  </si>
  <si>
    <t xml:space="preserve">Earthdawn Shaman Spells Expansion</t>
  </si>
  <si>
    <t xml:space="preserve">Rng</t>
  </si>
  <si>
    <t xml:space="preserve">Dur</t>
  </si>
  <si>
    <t xml:space="preserve">Earthdawn Weaponsmith Spells Expansion</t>
  </si>
  <si>
    <t xml:space="preserve">Earthdawn Thread Item Expansion</t>
  </si>
  <si>
    <t xml:space="preserve">Notes &amp; Description</t>
  </si>
  <si>
    <t xml:space="preserve">Modifiers</t>
  </si>
  <si>
    <t xml:space="preserve">Item:</t>
  </si>
  <si>
    <t xml:space="preserve">Physical Defense Modifier</t>
  </si>
  <si>
    <t xml:space="preserve">Spell Defense Modifier</t>
  </si>
  <si>
    <t xml:space="preserve">Magical Name:</t>
  </si>
  <si>
    <t xml:space="preserve">Social Defense Modifier</t>
  </si>
  <si>
    <t xml:space="preserve">Maximum Threads:</t>
  </si>
  <si>
    <t xml:space="preserve">Normal/Mystical Armor Modifier</t>
  </si>
  <si>
    <t xml:space="preserve">Maximum Thread Rank:</t>
  </si>
  <si>
    <t xml:space="preserve">Movment Combat/Normal Modifier</t>
  </si>
  <si>
    <t xml:space="preserve">Spell Defense:</t>
  </si>
  <si>
    <t xml:space="preserve">Flying Combat/Normal Modifier</t>
  </si>
  <si>
    <t xml:space="preserve">Max. Carry/Max. Lift Modifier</t>
  </si>
  <si>
    <t xml:space="preserve">Number of Attacks</t>
  </si>
  <si>
    <t xml:space="preserve">Attack Step or Modifier</t>
  </si>
  <si>
    <t xml:space="preserve">Damage Step or Modifier</t>
  </si>
  <si>
    <t xml:space="preserve">Initiative Step Modifier</t>
  </si>
  <si>
    <t xml:space="preserve">Primary Owner</t>
  </si>
  <si>
    <t xml:space="preserve">Rank 1 Thread</t>
  </si>
  <si>
    <t xml:space="preserve">Thread Cost:</t>
  </si>
  <si>
    <t xml:space="preserve">Knowledge or Deed Required:</t>
  </si>
  <si>
    <t xml:space="preserve">Knowledge:</t>
  </si>
  <si>
    <t xml:space="preserve">Weaving difficulty: 12</t>
  </si>
  <si>
    <t xml:space="preserve">Effect:</t>
  </si>
  <si>
    <t xml:space="preserve">Rank 2 Thread</t>
  </si>
  <si>
    <t xml:space="preserve">Weaving difficulty: 13</t>
  </si>
  <si>
    <t xml:space="preserve">Rank 3 Thread</t>
  </si>
  <si>
    <t xml:space="preserve">Weaving difficulty: 14</t>
  </si>
  <si>
    <t xml:space="preserve">Rank 4 Thread</t>
  </si>
  <si>
    <t xml:space="preserve">Weaving difficulty: 15</t>
  </si>
  <si>
    <t xml:space="preserve">Rank 5 Thread</t>
  </si>
  <si>
    <t xml:space="preserve">Weaving difficulty: 17</t>
  </si>
  <si>
    <t xml:space="preserve">Rank 6 Thread</t>
  </si>
  <si>
    <t xml:space="preserve">Weaving difficulty: 18</t>
  </si>
  <si>
    <t xml:space="preserve">Rank 7 Thread</t>
  </si>
  <si>
    <t xml:space="preserve">Weaving difficulty: 20</t>
  </si>
  <si>
    <t xml:space="preserve">Rank 8 Thread</t>
  </si>
  <si>
    <t xml:space="preserve">Weaving difficulty: 21</t>
  </si>
  <si>
    <t xml:space="preserve">Rank 9 Thread</t>
  </si>
  <si>
    <t xml:space="preserve">Weaving difficulty: 22</t>
  </si>
  <si>
    <t xml:space="preserve">Rank 10 Thread</t>
  </si>
  <si>
    <t xml:space="preserve">Weaving difficulty: 24</t>
  </si>
  <si>
    <t xml:space="preserve">Earthdawn Creature Sheet</t>
  </si>
  <si>
    <t xml:space="preserve"> Name:</t>
  </si>
  <si>
    <t xml:space="preserve"> Player:</t>
  </si>
  <si>
    <t xml:space="preserve"> Type:</t>
  </si>
  <si>
    <t xml:space="preserve"> Appearence:</t>
  </si>
  <si>
    <t xml:space="preserve"> Normal/Mystic Armor</t>
  </si>
  <si>
    <t xml:space="preserve"> Number of Attacks</t>
  </si>
  <si>
    <t xml:space="preserve"> Flying Combat/Normal</t>
  </si>
  <si>
    <t xml:space="preserve"> Movement Combat/Normal</t>
  </si>
  <si>
    <t xml:space="preserve"> Max. Carry/Max. Lift</t>
  </si>
  <si>
    <t xml:space="preserve"> Initiative Step &amp; Dice</t>
  </si>
  <si>
    <t xml:space="preserve"> Current:</t>
  </si>
  <si>
    <t xml:space="preserve"> Maximum:</t>
  </si>
  <si>
    <t xml:space="preserve"> Step &amp; Dice:</t>
  </si>
  <si>
    <t xml:space="preserve">Powers</t>
  </si>
  <si>
    <t xml:space="preserve"> d4-2</t>
  </si>
  <si>
    <t xml:space="preserve"> d4-1</t>
  </si>
  <si>
    <t xml:space="preserve"> d4</t>
  </si>
  <si>
    <t xml:space="preserve"> d6</t>
  </si>
  <si>
    <t xml:space="preserve"> d8</t>
  </si>
  <si>
    <t xml:space="preserve"> d10</t>
  </si>
  <si>
    <t xml:space="preserve"> d12</t>
  </si>
  <si>
    <t xml:space="preserve"> 2d6</t>
  </si>
  <si>
    <t xml:space="preserve"> d8+d6</t>
  </si>
  <si>
    <t xml:space="preserve"> d10+d6</t>
  </si>
  <si>
    <t xml:space="preserve"> d10+d8</t>
  </si>
  <si>
    <t xml:space="preserve"> 2d10</t>
  </si>
  <si>
    <t xml:space="preserve">Attacks</t>
  </si>
  <si>
    <t xml:space="preserve"> d12+d10</t>
  </si>
  <si>
    <t xml:space="preserve"> d20+d4</t>
  </si>
  <si>
    <t xml:space="preserve"> d20+d6</t>
  </si>
  <si>
    <t xml:space="preserve"> d20+d8</t>
  </si>
  <si>
    <t xml:space="preserve"> d20+d10</t>
  </si>
  <si>
    <t xml:space="preserve"> d20+d12</t>
  </si>
  <si>
    <t xml:space="preserve"> d20+2d6</t>
  </si>
  <si>
    <t xml:space="preserve"> d20+d8+d6</t>
  </si>
  <si>
    <t xml:space="preserve"> d20+d10+d6</t>
  </si>
  <si>
    <t xml:space="preserve"> d20+d10+d8</t>
  </si>
  <si>
    <t xml:space="preserve"> d20+2d10</t>
  </si>
  <si>
    <t xml:space="preserve"> d20+d12+d10</t>
  </si>
  <si>
    <t xml:space="preserve">Trained Tricks</t>
  </si>
  <si>
    <t xml:space="preserve"> d20+d10+d8+d4</t>
  </si>
  <si>
    <t xml:space="preserve"> d20+d10+d8+d6</t>
  </si>
  <si>
    <t xml:space="preserve"> d20+d10+2d8</t>
  </si>
  <si>
    <t xml:space="preserve"> d20+2d10+d8</t>
  </si>
  <si>
    <t xml:space="preserve"> d20+d12+d10+d8</t>
  </si>
  <si>
    <t xml:space="preserve"> d20+d10+d8+2d6</t>
  </si>
  <si>
    <t xml:space="preserve"> d20+d10+2d8+d6</t>
  </si>
  <si>
    <t xml:space="preserve"> d20+2d10+d8+d6</t>
  </si>
  <si>
    <t xml:space="preserve"> d20+2d10+2d8</t>
  </si>
  <si>
    <t xml:space="preserve"> d20+3d10+d8</t>
  </si>
  <si>
    <t xml:space="preserve"> d20+d12+2d10+d8</t>
  </si>
  <si>
    <t xml:space="preserve"> 2d20+d10+d8+d4</t>
  </si>
  <si>
    <t xml:space="preserve"> 2d20+d10+d8+d6</t>
  </si>
  <si>
    <t xml:space="preserve"> 2d20+d10+2d8</t>
  </si>
  <si>
    <t xml:space="preserve"> 2d20+2d10+d8</t>
  </si>
  <si>
    <t xml:space="preserve"> 2d20+d12+d10+d8</t>
  </si>
  <si>
    <t xml:space="preserve"> 2d20+d10+d8+2d6</t>
  </si>
  <si>
    <t xml:space="preserve"> 2d20+d10+2d8+d6</t>
  </si>
  <si>
    <t xml:space="preserve"> 2d20+2d10+d8+d6</t>
  </si>
  <si>
    <t xml:space="preserve"> 2d20+2d10+2d8</t>
  </si>
  <si>
    <t xml:space="preserve"> 2d20+3d10+d8</t>
  </si>
  <si>
    <t xml:space="preserve"> 2d20+d12+2d10+d8</t>
  </si>
  <si>
    <t xml:space="preserve"> 2d20+2d10+2d8+d4</t>
  </si>
  <si>
    <t xml:space="preserve"> 2d20+2d10+2d8+d6</t>
  </si>
  <si>
    <t xml:space="preserve"> 2d20+2d10+3d8</t>
  </si>
  <si>
    <t xml:space="preserve"> 2d20+3d10+2d8</t>
  </si>
  <si>
    <t xml:space="preserve">Earthdawn Spirit &amp; Elemental Sheet</t>
  </si>
  <si>
    <t xml:space="preserve"> Appearence (manifested):</t>
  </si>
  <si>
    <t xml:space="preserve"> Attack Step &amp; Dice</t>
  </si>
  <si>
    <t xml:space="preserve"> Damage Step &amp; Dice</t>
  </si>
  <si>
    <t xml:space="preserve"> Number of Spells</t>
  </si>
  <si>
    <t xml:space="preserve"> Spellcasting Step &amp; Dice</t>
  </si>
  <si>
    <t xml:space="preserve"> Strength Rating:</t>
  </si>
  <si>
    <t xml:space="preserve"> Aid Summoner</t>
  </si>
  <si>
    <t xml:space="preserve"> n/a</t>
  </si>
  <si>
    <t xml:space="preserve"> Astral Sight</t>
  </si>
  <si>
    <t xml:space="preserve"> P+SR</t>
  </si>
  <si>
    <t xml:space="preserve"> Durability</t>
  </si>
  <si>
    <t xml:space="preserve"> Manifest</t>
  </si>
  <si>
    <t xml:space="preserve">Gender</t>
  </si>
  <si>
    <t xml:space="preserve">Number</t>
  </si>
  <si>
    <t xml:space="preserve">Action Dice Table</t>
  </si>
  <si>
    <t xml:space="preserve">Racial Statistical Modifiers</t>
  </si>
  <si>
    <t xml:space="preserve">Racial Karma</t>
  </si>
  <si>
    <t xml:space="preserve">Armor Multipliers</t>
  </si>
  <si>
    <t xml:space="preserve">Racial Weapon Sizes</t>
  </si>
  <si>
    <t xml:space="preserve">Air_Sailor</t>
  </si>
  <si>
    <t xml:space="preserve">Dwarf</t>
  </si>
  <si>
    <t xml:space="preserve">Action Dice</t>
  </si>
  <si>
    <t xml:space="preserve">Female</t>
  </si>
  <si>
    <t xml:space="preserve">Archer</t>
  </si>
  <si>
    <t xml:space="preserve">Elf</t>
  </si>
  <si>
    <t xml:space="preserve">Heat Sight (250 yards)</t>
  </si>
  <si>
    <t xml:space="preserve">d6</t>
  </si>
  <si>
    <t xml:space="preserve">Karma Ritual Rank x 4</t>
  </si>
  <si>
    <t xml:space="preserve">Archer_Crossbowman</t>
  </si>
  <si>
    <t xml:space="preserve">d6-3</t>
  </si>
  <si>
    <t xml:space="preserve">Low-Light Vision</t>
  </si>
  <si>
    <t xml:space="preserve">Archer_Bowman</t>
  </si>
  <si>
    <t xml:space="preserve">d6-2</t>
  </si>
  <si>
    <t xml:space="preserve">Versatility Talent</t>
  </si>
  <si>
    <t xml:space="preserve">Karma Ritual Rank x 5</t>
  </si>
  <si>
    <t xml:space="preserve">Beastmaster</t>
  </si>
  <si>
    <t xml:space="preserve">Ork</t>
  </si>
  <si>
    <t xml:space="preserve">d6-1</t>
  </si>
  <si>
    <t xml:space="preserve">Natural Armor (3), Wound Threshold +3</t>
  </si>
  <si>
    <t xml:space="preserve">Karma Ritual Rank x 3</t>
  </si>
  <si>
    <t xml:space="preserve">Boatman</t>
  </si>
  <si>
    <t xml:space="preserve">Low-Light Vision, Gahad</t>
  </si>
  <si>
    <t xml:space="preserve">Cavalryman</t>
  </si>
  <si>
    <t xml:space="preserve">d8</t>
  </si>
  <si>
    <t xml:space="preserve">Confidence_Trickster</t>
  </si>
  <si>
    <t xml:space="preserve">d10</t>
  </si>
  <si>
    <t xml:space="preserve">Tail Attack</t>
  </si>
  <si>
    <t xml:space="preserve">Delver_Scout</t>
  </si>
  <si>
    <t xml:space="preserve">d12</t>
  </si>
  <si>
    <t xml:space="preserve">Astral Sight, Flight, +2 Physical Def., Move +2/-6</t>
  </si>
  <si>
    <t xml:space="preserve">Karma Ritual Rank x6</t>
  </si>
  <si>
    <t xml:space="preserve">2d6</t>
  </si>
  <si>
    <t xml:space="preserve">Horror_Stalker</t>
  </si>
  <si>
    <t xml:space="preserve">d8+d6</t>
  </si>
  <si>
    <t xml:space="preserve">2d8</t>
  </si>
  <si>
    <t xml:space="preserve">Liberator</t>
  </si>
  <si>
    <t xml:space="preserve">d10 + d8</t>
  </si>
  <si>
    <t xml:space="preserve">Attribute Table</t>
  </si>
  <si>
    <t xml:space="preserve">Attribute Cost</t>
  </si>
  <si>
    <t xml:space="preserve">Talent Improvement Cost</t>
  </si>
  <si>
    <t xml:space="preserve">Number names</t>
  </si>
  <si>
    <t xml:space="preserve">Improve</t>
  </si>
  <si>
    <t xml:space="preserve">Second</t>
  </si>
  <si>
    <t xml:space="preserve">Messenger</t>
  </si>
  <si>
    <t xml:space="preserve">2d10</t>
  </si>
  <si>
    <t xml:space="preserve">Movement</t>
  </si>
  <si>
    <t xml:space="preserve">Capacity</t>
  </si>
  <si>
    <t xml:space="preserve">Uncon.</t>
  </si>
  <si>
    <t xml:space="preserve">Points</t>
  </si>
  <si>
    <t xml:space="preserve">Level</t>
  </si>
  <si>
    <t xml:space="preserve">1-4</t>
  </si>
  <si>
    <t xml:space="preserve">5-8</t>
  </si>
  <si>
    <t xml:space="preserve">9-12</t>
  </si>
  <si>
    <t xml:space="preserve">13-15</t>
  </si>
  <si>
    <t xml:space="preserve">d12+d10</t>
  </si>
  <si>
    <t xml:space="preserve">Defense</t>
  </si>
  <si>
    <t xml:space="preserve">Full</t>
  </si>
  <si>
    <t xml:space="preserve">Combat</t>
  </si>
  <si>
    <t xml:space="preserve">Lift</t>
  </si>
  <si>
    <t xml:space="preserve">Rating</t>
  </si>
  <si>
    <t xml:space="preserve">Threshold</t>
  </si>
  <si>
    <t xml:space="preserve">Tests</t>
  </si>
  <si>
    <t xml:space="preserve">Zeroth</t>
  </si>
  <si>
    <t xml:space="preserve">0th</t>
  </si>
  <si>
    <t xml:space="preserve">Outcast_Warrior</t>
  </si>
  <si>
    <t xml:space="preserve">2d12</t>
  </si>
  <si>
    <t xml:space="preserve">1/2</t>
  </si>
  <si>
    <t xml:space="preserve">First</t>
  </si>
  <si>
    <t xml:space="preserve">Purifier</t>
  </si>
  <si>
    <t xml:space="preserve">d12 +2d6</t>
  </si>
  <si>
    <t xml:space="preserve">Scout</t>
  </si>
  <si>
    <t xml:space="preserve">d12 +d8 + d6</t>
  </si>
  <si>
    <t xml:space="preserve">Third</t>
  </si>
  <si>
    <t xml:space="preserve">3rd</t>
  </si>
  <si>
    <t xml:space="preserve">Scout_Explorer</t>
  </si>
  <si>
    <t xml:space="preserve">d12 + 2d8</t>
  </si>
  <si>
    <t xml:space="preserve">Fourth</t>
  </si>
  <si>
    <t xml:space="preserve">4th</t>
  </si>
  <si>
    <t xml:space="preserve">d12 + d10 + d8</t>
  </si>
  <si>
    <t xml:space="preserve">Fifth</t>
  </si>
  <si>
    <t xml:space="preserve">5th</t>
  </si>
  <si>
    <t xml:space="preserve">d12 + 2d10</t>
  </si>
  <si>
    <t xml:space="preserve">Sixth</t>
  </si>
  <si>
    <t xml:space="preserve">6th</t>
  </si>
  <si>
    <t xml:space="preserve">Sky_Raider</t>
  </si>
  <si>
    <t xml:space="preserve">2d12 + d10</t>
  </si>
  <si>
    <t xml:space="preserve">Seventh</t>
  </si>
  <si>
    <t xml:space="preserve">7th</t>
  </si>
  <si>
    <t xml:space="preserve">Sky_Raider_Assassin</t>
  </si>
  <si>
    <t xml:space="preserve">3d12</t>
  </si>
  <si>
    <t xml:space="preserve">Eigth</t>
  </si>
  <si>
    <t xml:space="preserve">8th</t>
  </si>
  <si>
    <t xml:space="preserve">Songsmith</t>
  </si>
  <si>
    <t xml:space="preserve">2d12 + 2d6</t>
  </si>
  <si>
    <t xml:space="preserve">Ninth</t>
  </si>
  <si>
    <t xml:space="preserve">9th</t>
  </si>
  <si>
    <t xml:space="preserve">Swordmaster</t>
  </si>
  <si>
    <t xml:space="preserve">2d12 + d8 +d6</t>
  </si>
  <si>
    <t xml:space="preserve">Tenth</t>
  </si>
  <si>
    <t xml:space="preserve">10th</t>
  </si>
  <si>
    <t xml:space="preserve">Swordmaster_Bladesman</t>
  </si>
  <si>
    <t xml:space="preserve">2d12 _ 2d8</t>
  </si>
  <si>
    <t xml:space="preserve">Eleventh</t>
  </si>
  <si>
    <t xml:space="preserve">11th</t>
  </si>
  <si>
    <t xml:space="preserve">Swordmaster_Gallant</t>
  </si>
  <si>
    <t xml:space="preserve">2d12 + d10 + d8</t>
  </si>
  <si>
    <t xml:space="preserve">Twelfth</t>
  </si>
  <si>
    <t xml:space="preserve">12th</t>
  </si>
  <si>
    <t xml:space="preserve">Taildancer</t>
  </si>
  <si>
    <t xml:space="preserve">2d12 + 2d10</t>
  </si>
  <si>
    <t xml:space="preserve">Thirteenth</t>
  </si>
  <si>
    <t xml:space="preserve">13th</t>
  </si>
  <si>
    <t xml:space="preserve">Taildancer_Kstulaami</t>
  </si>
  <si>
    <t xml:space="preserve">3d12 + d10</t>
  </si>
  <si>
    <t xml:space="preserve">Fourteenth</t>
  </si>
  <si>
    <t xml:space="preserve">14th</t>
  </si>
  <si>
    <t xml:space="preserve">4d12</t>
  </si>
  <si>
    <t xml:space="preserve">Fifteenth</t>
  </si>
  <si>
    <t xml:space="preserve">15th</t>
  </si>
  <si>
    <t xml:space="preserve">Thief_Assassin</t>
  </si>
  <si>
    <t xml:space="preserve">3d12 +2d6</t>
  </si>
  <si>
    <t xml:space="preserve">Thief_Burglar</t>
  </si>
  <si>
    <t xml:space="preserve">3d12 + d8 +d6</t>
  </si>
  <si>
    <t xml:space="preserve">Legendary Status</t>
  </si>
  <si>
    <t xml:space="preserve">Thief_Cutthroat</t>
  </si>
  <si>
    <t xml:space="preserve">3d12 +2d8</t>
  </si>
  <si>
    <t xml:space="preserve">Stat Increase</t>
  </si>
  <si>
    <t xml:space="preserve">Legend</t>
  </si>
  <si>
    <t xml:space="preserve">Thief_Slasher</t>
  </si>
  <si>
    <t xml:space="preserve">3d12 + d10 +d8</t>
  </si>
  <si>
    <t xml:space="preserve">Increases</t>
  </si>
  <si>
    <t xml:space="preserve">Thief_Spy</t>
  </si>
  <si>
    <t xml:space="preserve">3d12 + 2d10</t>
  </si>
  <si>
    <t xml:space="preserve">Thief_Romancer</t>
  </si>
  <si>
    <t xml:space="preserve">4d12 + d10</t>
  </si>
  <si>
    <t xml:space="preserve">Traveled_Scholar</t>
  </si>
  <si>
    <t xml:space="preserve">5d12</t>
  </si>
  <si>
    <t xml:space="preserve">Traveled_Scholar_Spy</t>
  </si>
  <si>
    <t xml:space="preserve">5d12 + 2d6</t>
  </si>
  <si>
    <t xml:space="preserve">Troubadour</t>
  </si>
  <si>
    <t xml:space="preserve">5d12 + d8 + d6</t>
  </si>
  <si>
    <t xml:space="preserve">Troubadour_Mapmaker</t>
  </si>
  <si>
    <t xml:space="preserve">5d12 +2d8</t>
  </si>
  <si>
    <t xml:space="preserve">Troubadour_Romancer</t>
  </si>
  <si>
    <t xml:space="preserve">5d12 + d10 + d8</t>
  </si>
  <si>
    <t xml:space="preserve">Troubadour_Sage</t>
  </si>
  <si>
    <t xml:space="preserve">5d12 + 2d10</t>
  </si>
  <si>
    <t xml:space="preserve">Warrior</t>
  </si>
  <si>
    <t xml:space="preserve">6d12 + d10</t>
  </si>
  <si>
    <t xml:space="preserve">7d12</t>
  </si>
  <si>
    <t xml:space="preserve">Wind_Dancer</t>
  </si>
  <si>
    <t xml:space="preserve">7d12 + 2d6</t>
  </si>
  <si>
    <t xml:space="preserve">Windmaster</t>
  </si>
  <si>
    <t xml:space="preserve">7d12 +d10 + d6</t>
  </si>
  <si>
    <t xml:space="preserve">Windmaster_Slasher</t>
  </si>
  <si>
    <t xml:space="preserve">7d12 + 2d10</t>
  </si>
  <si>
    <t xml:space="preserve">Windscout</t>
  </si>
  <si>
    <t xml:space="preserve">8d12 + d10</t>
  </si>
  <si>
    <t xml:space="preserve">9d12</t>
  </si>
  <si>
    <t xml:space="preserve">Woodsman</t>
  </si>
  <si>
    <t xml:space="preserve">9d12 + 2d6</t>
  </si>
  <si>
    <t xml:space="preserve">Woodsman_Assassin</t>
  </si>
  <si>
    <t xml:space="preserve">9d12 +d8 + d6</t>
  </si>
  <si>
    <t xml:space="preserve">TALENTS</t>
  </si>
  <si>
    <t xml:space="preserve">Swordmaster_Slasher</t>
  </si>
  <si>
    <t xml:space="preserve">Air Sailing (D)</t>
  </si>
  <si>
    <t xml:space="preserve">Karma Ritual</t>
  </si>
  <si>
    <t xml:space="preserve">Animal Bond (D)</t>
  </si>
  <si>
    <t xml:space="preserve">Climbing (D)</t>
  </si>
  <si>
    <t xml:space="preserve">Air Speaking (D)</t>
  </si>
  <si>
    <t xml:space="preserve">Astral Sight (D)</t>
  </si>
  <si>
    <t xml:space="preserve">Freedom Search (D)</t>
  </si>
  <si>
    <t xml:space="preserve">Avoid Blow (D)</t>
  </si>
  <si>
    <t xml:space="preserve">Body Control (D)</t>
  </si>
  <si>
    <t xml:space="preserve">Batlle Shout (D)</t>
  </si>
  <si>
    <t xml:space="preserve">Create Fetish (D)</t>
  </si>
  <si>
    <t xml:space="preserve">Emotion Song (D)</t>
  </si>
  <si>
    <t xml:space="preserve">Close In (D)</t>
  </si>
  <si>
    <t xml:space="preserve">Acrobatic Strike (D)</t>
  </si>
  <si>
    <t xml:space="preserve">Flirting (D)</t>
  </si>
  <si>
    <t xml:space="preserve">Item History (D)</t>
  </si>
  <si>
    <t xml:space="preserve">Search (D)</t>
  </si>
  <si>
    <t xml:space="preserve">First Impression (D)</t>
  </si>
  <si>
    <t xml:space="preserve">Evaluate (D)</t>
  </si>
  <si>
    <t xml:space="preserve">Conversation (D)</t>
  </si>
  <si>
    <t xml:space="preserve">Air Dance (D)</t>
  </si>
  <si>
    <t xml:space="preserve">Missile Weapons (D)</t>
  </si>
  <si>
    <t xml:space="preserve">Claw Shape (D)</t>
  </si>
  <si>
    <t xml:space="preserve">Charge (D)</t>
  </si>
  <si>
    <t xml:space="preserve">Lock Picking (D)</t>
  </si>
  <si>
    <t xml:space="preserve">Call of Harrow (D)</t>
  </si>
  <si>
    <t xml:space="preserve">Read/Write Magic (D)</t>
  </si>
  <si>
    <t xml:space="preserve">Direction Sense (D)</t>
  </si>
  <si>
    <t xml:space="preserve">Battle Shout (D)</t>
  </si>
  <si>
    <t xml:space="preserve">Clay Skin (D)</t>
  </si>
  <si>
    <t xml:space="preserve">Fireblood (D)</t>
  </si>
  <si>
    <t xml:space="preserve">Maneuver (D)</t>
  </si>
  <si>
    <t xml:space="preserve">Impress (D)</t>
  </si>
  <si>
    <t xml:space="preserve">Forge Weapon (D)</t>
  </si>
  <si>
    <t xml:space="preserve">Etiquette (D)</t>
  </si>
  <si>
    <t xml:space="preserve">Evidence Analysis (D)</t>
  </si>
  <si>
    <t xml:space="preserve">Mystic Aim (D)</t>
  </si>
  <si>
    <t xml:space="preserve">Creature Analysis (D)</t>
  </si>
  <si>
    <t xml:space="preserve">Melee Weapons (D)</t>
  </si>
  <si>
    <t xml:space="preserve">Picking Pockets (D)</t>
  </si>
  <si>
    <t xml:space="preserve">Speak Language (D)</t>
  </si>
  <si>
    <t xml:space="preserve">Spellcasting (D)</t>
  </si>
  <si>
    <t xml:space="preserve">Read/Write Language (D)</t>
  </si>
  <si>
    <t xml:space="preserve">Haggle (D)</t>
  </si>
  <si>
    <t xml:space="preserve">Dive Attack (D)</t>
  </si>
  <si>
    <t xml:space="preserve">Throwing Weapons (D)</t>
  </si>
  <si>
    <t xml:space="preserve">Pilot Boat (D)</t>
  </si>
  <si>
    <t xml:space="preserve">Melee Wapons (D)</t>
  </si>
  <si>
    <t xml:space="preserve">Silent Walk (D)</t>
  </si>
  <si>
    <t xml:space="preserve">Tracking (D)</t>
  </si>
  <si>
    <t xml:space="preserve">Spell Casting (D)</t>
  </si>
  <si>
    <t xml:space="preserve">Navigation (D)</t>
  </si>
  <si>
    <t xml:space="preserve">Unarmed Combat (D)</t>
  </si>
  <si>
    <t xml:space="preserve">Spell Fetish A</t>
  </si>
  <si>
    <t xml:space="preserve">Karma Ritual </t>
  </si>
  <si>
    <t xml:space="preserve">Parry (D)</t>
  </si>
  <si>
    <t xml:space="preserve">Research (D)</t>
  </si>
  <si>
    <t xml:space="preserve">Taunt (D)</t>
  </si>
  <si>
    <t xml:space="preserve">True Shot (D)</t>
  </si>
  <si>
    <t xml:space="preserve">Swimming (D)</t>
  </si>
  <si>
    <t xml:space="preserve">Trick Riding (D)</t>
  </si>
  <si>
    <t xml:space="preserve">Trap Initiative (D)</t>
  </si>
  <si>
    <t xml:space="preserve">Wilderness Survival (D)</t>
  </si>
  <si>
    <t xml:space="preserve">Thread Weaving (Elementalist) (D)</t>
  </si>
  <si>
    <t xml:space="preserve">Steel Thought (D)</t>
  </si>
  <si>
    <t xml:space="preserve">Shackle Shrug (D)</t>
  </si>
  <si>
    <t xml:space="preserve">Wound Balance (D)</t>
  </si>
  <si>
    <t xml:space="preserve">Thread Weaving (Shaman) (D)</t>
  </si>
  <si>
    <t xml:space="preserve">Performance (D)</t>
  </si>
  <si>
    <t xml:space="preserve">Mimic Voice (D)</t>
  </si>
  <si>
    <t xml:space="preserve">Wood Skin (D)</t>
  </si>
  <si>
    <t xml:space="preserve">Wind Dance (D)</t>
  </si>
  <si>
    <t xml:space="preserve">Thread Weaving (Illusionist) (D)</t>
  </si>
  <si>
    <t xml:space="preserve">Thread Weaving (Nethermancer) (D)</t>
  </si>
  <si>
    <t xml:space="preserve">Thread Weaving (Wizard) (D)</t>
  </si>
  <si>
    <t xml:space="preserve">Distract (D)</t>
  </si>
  <si>
    <t xml:space="preserve">Direction Arrow (D)</t>
  </si>
  <si>
    <t xml:space="preserve">Dominate Beast (D)</t>
  </si>
  <si>
    <t xml:space="preserve">Cast Net (D)</t>
  </si>
  <si>
    <t xml:space="preserve">Empathic Command (D)</t>
  </si>
  <si>
    <t xml:space="preserve">Fire Heal (D)</t>
  </si>
  <si>
    <t xml:space="preserve">Abate Curse (D)</t>
  </si>
  <si>
    <t xml:space="preserve">Disguise Self (D)</t>
  </si>
  <si>
    <t xml:space="preserve">Free Mind (D)</t>
  </si>
  <si>
    <t xml:space="preserve">Conceal Object (D)</t>
  </si>
  <si>
    <t xml:space="preserve">Frighten (D)</t>
  </si>
  <si>
    <t xml:space="preserve">Shield Charge (D)</t>
  </si>
  <si>
    <t xml:space="preserve">Lifesight (D)</t>
  </si>
  <si>
    <t xml:space="preserve">Great Leap (D)</t>
  </si>
  <si>
    <t xml:space="preserve">Heartening Laugh (D)</t>
  </si>
  <si>
    <t xml:space="preserve">Winning Smile (D)</t>
  </si>
  <si>
    <t xml:space="preserve">Detect Trap (D)</t>
  </si>
  <si>
    <t xml:space="preserve">Book Memory (D)</t>
  </si>
  <si>
    <t xml:space="preserve">Anticipate Blow (D)</t>
  </si>
  <si>
    <t xml:space="preserve">Diplomacy (D)</t>
  </si>
  <si>
    <t xml:space="preserve">Read/Write Languages (D)</t>
  </si>
  <si>
    <t xml:space="preserve">Surprise Strike (D)</t>
  </si>
  <si>
    <t xml:space="preserve">Empathic Sense (D)</t>
  </si>
  <si>
    <t xml:space="preserve">Long Shot (D)</t>
  </si>
  <si>
    <t xml:space="preserve">Animal Training (D)</t>
  </si>
  <si>
    <t xml:space="preserve">Read River (D)</t>
  </si>
  <si>
    <t xml:space="preserve">Sure Mount (D)</t>
  </si>
  <si>
    <t xml:space="preserve">Elemental Tongues (D)</t>
  </si>
  <si>
    <t xml:space="preserve">Bear Mark (D)</t>
  </si>
  <si>
    <t xml:space="preserve">Dead Fall (D)</t>
  </si>
  <si>
    <t xml:space="preserve">Shout of Justice (D)</t>
  </si>
  <si>
    <t xml:space="preserve">Sprint (D)</t>
  </si>
  <si>
    <t xml:space="preserve">Spirit Talk (D)</t>
  </si>
  <si>
    <t xml:space="preserve">Swift Kick (D)</t>
  </si>
  <si>
    <t xml:space="preserve">Engaging Banger (D)</t>
  </si>
  <si>
    <t xml:space="preserve">Riposte (D)</t>
  </si>
  <si>
    <t xml:space="preserve">Tail Dance (D)</t>
  </si>
  <si>
    <t xml:space="preserve">Disarm Trap (D)</t>
  </si>
  <si>
    <t xml:space="preserve">Seduction (D)</t>
  </si>
  <si>
    <t xml:space="preserve">Book Recall (D)</t>
  </si>
  <si>
    <t xml:space="preserve">Bird Song (D)</t>
  </si>
  <si>
    <t xml:space="preserve">Buzz (D)</t>
  </si>
  <si>
    <t xml:space="preserve">Scent Identifier (D)</t>
  </si>
  <si>
    <t xml:space="preserve">Wind Catcher (D)</t>
  </si>
  <si>
    <t xml:space="preserve">Thread Weaving (Air Sailor) (D)</t>
  </si>
  <si>
    <t xml:space="preserve">Thread Weaving (Archer) (D)</t>
  </si>
  <si>
    <t xml:space="preserve">Thread Weaving (Beastmaster) (D)</t>
  </si>
  <si>
    <t xml:space="preserve">Thread Weaving (Boatman) (D)</t>
  </si>
  <si>
    <t xml:space="preserve">Thread Weaving (Cavalryman) (D)</t>
  </si>
  <si>
    <t xml:space="preserve">Thread Weaving (Thief) (D)</t>
  </si>
  <si>
    <t xml:space="preserve">Thread Weaving (Scout) (D)</t>
  </si>
  <si>
    <t xml:space="preserve">Elemental Hold (D)</t>
  </si>
  <si>
    <t xml:space="preserve">Thread Weaving (Horror Stalker) (D)</t>
  </si>
  <si>
    <t xml:space="preserve">False Sight (D)</t>
  </si>
  <si>
    <t xml:space="preserve">Thread Weaving (Liberator) (D)</t>
  </si>
  <si>
    <t xml:space="preserve">Thread Weaving (Messenger) (D)</t>
  </si>
  <si>
    <t xml:space="preserve">Spirit Hold (D)</t>
  </si>
  <si>
    <t xml:space="preserve">Thread Weaving (Outcast Warrior) (D)</t>
  </si>
  <si>
    <t xml:space="preserve">Thread Weaving (Purifier) (D)</t>
  </si>
  <si>
    <t xml:space="preserve">Thread Weaving (Sky Raider) (D)</t>
  </si>
  <si>
    <t xml:space="preserve">Thread Weaving (Songsmith) (D)</t>
  </si>
  <si>
    <t xml:space="preserve">Thread Weaving (Swordmaster) (D)</t>
  </si>
  <si>
    <t xml:space="preserve">Thread Weaving (Taildancer) (D)</t>
  </si>
  <si>
    <t xml:space="preserve">Thread Weaving (Traveled Scholar) (D)</t>
  </si>
  <si>
    <t xml:space="preserve">Thread Weaving (Troubadour) (D)</t>
  </si>
  <si>
    <t xml:space="preserve">Thread Weaving (Warrior) (D)</t>
  </si>
  <si>
    <t xml:space="preserve">Thread Weaving (Weaponsmith) (D)</t>
  </si>
  <si>
    <t xml:space="preserve">Thread Weaving (Wind-Dancer) (D)</t>
  </si>
  <si>
    <t xml:space="preserve">Thread Weaving (Windmaster) (D)</t>
  </si>
  <si>
    <t xml:space="preserve">Thread Weaving (Windscout) (D)</t>
  </si>
  <si>
    <t xml:space="preserve">Thread Weaving (Woodsman) (D)</t>
  </si>
  <si>
    <t xml:space="preserve">Swing Attack (D)</t>
  </si>
  <si>
    <t xml:space="preserve">Stopping Aim (D)</t>
  </si>
  <si>
    <t xml:space="preserve">Heal Animal Companion(D)</t>
  </si>
  <si>
    <t xml:space="preserve">Wheeling Attack (D)</t>
  </si>
  <si>
    <t xml:space="preserve">Graceful Exit (D)</t>
  </si>
  <si>
    <t xml:space="preserve">Summon (Elemental Spirits) (D)</t>
  </si>
  <si>
    <t xml:space="preserve">Lion Heart (D)</t>
  </si>
  <si>
    <t xml:space="preserve">True Sight (D)</t>
  </si>
  <si>
    <t xml:space="preserve">False Shackles (D)</t>
  </si>
  <si>
    <t xml:space="preserve">Temper Self (D)</t>
  </si>
  <si>
    <t xml:space="preserve">Summon (Ally Spirits) (D)</t>
  </si>
  <si>
    <t xml:space="preserve">Earth Bond (D)</t>
  </si>
  <si>
    <t xml:space="preserve">Sense Danger (D)</t>
  </si>
  <si>
    <t xml:space="preserve">Battle Bellow (D)</t>
  </si>
  <si>
    <t xml:space="preserve">Summon (Nature Spirits)  (D)</t>
  </si>
  <si>
    <t xml:space="preserve">Bedazzle (D)</t>
  </si>
  <si>
    <t xml:space="preserve">Second Weapon (D)</t>
  </si>
  <si>
    <t xml:space="preserve">Engaging Dance (D)</t>
  </si>
  <si>
    <t xml:space="preserve">Sense Poison (D)</t>
  </si>
  <si>
    <t xml:space="preserve">Applied Sciences (D)</t>
  </si>
  <si>
    <t xml:space="preserve">Inspire Others (D)</t>
  </si>
  <si>
    <t xml:space="preserve">Resist Taunt (D)</t>
  </si>
  <si>
    <t xml:space="preserve">Spot Armor Flaw (D)</t>
  </si>
  <si>
    <t xml:space="preserve">Bank Shot (D)</t>
  </si>
  <si>
    <t xml:space="preserve">Animal Talk (D)</t>
  </si>
  <si>
    <t xml:space="preserve">Armor Mount (D)</t>
  </si>
  <si>
    <t xml:space="preserve">Slough Blame (D)</t>
  </si>
  <si>
    <t xml:space="preserve">Cold Purify (D)</t>
  </si>
  <si>
    <t xml:space="preserve">Bane Strike (D)</t>
  </si>
  <si>
    <t xml:space="preserve">Engaging Banter (D)</t>
  </si>
  <si>
    <t xml:space="preserve">Hoard Blows (D)</t>
  </si>
  <si>
    <t xml:space="preserve">Life Check (D)</t>
  </si>
  <si>
    <t xml:space="preserve">Steely Stare (D)</t>
  </si>
  <si>
    <t xml:space="preserve">Blood Share (D)</t>
  </si>
  <si>
    <t xml:space="preserve">Disarm (D)</t>
  </si>
  <si>
    <t xml:space="preserve">Lasting Impression (D)</t>
  </si>
  <si>
    <t xml:space="preserve">Lip Reading (D)</t>
  </si>
  <si>
    <t xml:space="preserve">Endure Cold (D)</t>
  </si>
  <si>
    <t xml:space="preserve">Safe Path (D)</t>
  </si>
  <si>
    <t xml:space="preserve">Impressive Shot (D)</t>
  </si>
  <si>
    <t xml:space="preserve">Animal Possession (D)</t>
  </si>
  <si>
    <t xml:space="preserve">Wheeling Defense (D)</t>
  </si>
  <si>
    <t xml:space="preserve">Fast Hand (D)</t>
  </si>
  <si>
    <t xml:space="preserve">Earth Skin (D)</t>
  </si>
  <si>
    <t xml:space="preserve">Mind Blade (D)</t>
  </si>
  <si>
    <t xml:space="preserve">Spirit Dodge (D)</t>
  </si>
  <si>
    <t xml:space="preserve">Crushing Blow (D)</t>
  </si>
  <si>
    <t xml:space="preserve">Momentum Attack (D)</t>
  </si>
  <si>
    <t xml:space="preserve">Leadership (D)</t>
  </si>
  <si>
    <t xml:space="preserve">Second Shot (D)</t>
  </si>
  <si>
    <t xml:space="preserve">Frenzy (D)</t>
  </si>
  <si>
    <t xml:space="preserve">Double Charge (D)</t>
  </si>
  <si>
    <t xml:space="preserve">Temperature (D)</t>
  </si>
  <si>
    <t xml:space="preserve">Second Attack (D)</t>
  </si>
  <si>
    <t xml:space="preserve">Power Mask (D)</t>
  </si>
  <si>
    <t xml:space="preserve">Safe Path (D) </t>
  </si>
  <si>
    <t xml:space="preserve">Orbiting Spy (D)</t>
  </si>
  <si>
    <t xml:space="preserve">Down Strike (D)</t>
  </si>
  <si>
    <t xml:space="preserve">Forge Armor (D)</t>
  </si>
  <si>
    <t xml:space="preserve">Hypnotize (D)</t>
  </si>
  <si>
    <t xml:space="preserve">Hold Thread (D)</t>
  </si>
  <si>
    <t xml:space="preserve">Thought Link (D)</t>
  </si>
  <si>
    <t xml:space="preserve">Eagle Eye (D)</t>
  </si>
  <si>
    <t xml:space="preserve">Chameleon (D)</t>
  </si>
  <si>
    <t xml:space="preserve">Lion Spirit (D)</t>
  </si>
  <si>
    <t xml:space="preserve">Critical Hit (D)</t>
  </si>
  <si>
    <t xml:space="preserve">Gold Sense (D)</t>
  </si>
  <si>
    <t xml:space="preserve">Metal Ward (D)</t>
  </si>
  <si>
    <t xml:space="preserve">Detect Falsehood (D)</t>
  </si>
  <si>
    <t xml:space="preserve">Prison Call (D)</t>
  </si>
  <si>
    <t xml:space="preserve">Bargain With Summoned Spirit (D)</t>
  </si>
  <si>
    <t xml:space="preserve">Resist Pain (D)</t>
  </si>
  <si>
    <t xml:space="preserve">Thunder Axe (D)</t>
  </si>
  <si>
    <t xml:space="preserve">Bargain with Summoned Creature (D)</t>
  </si>
  <si>
    <t xml:space="preserve">Impressive Strike (D)</t>
  </si>
  <si>
    <t xml:space="preserve">Whirlwind (D)</t>
  </si>
  <si>
    <t xml:space="preserve">Safe Thought (D)</t>
  </si>
  <si>
    <t xml:space="preserve">Bardic Voice (D)</t>
  </si>
  <si>
    <t xml:space="preserve">Infuse Weapon (D)</t>
  </si>
  <si>
    <t xml:space="preserve">Range Pattern (D)</t>
  </si>
  <si>
    <t xml:space="preserve">Missile Path (D)</t>
  </si>
  <si>
    <t xml:space="preserve">Shield Beater (D)</t>
  </si>
  <si>
    <t xml:space="preserve">Warning Shot (D)</t>
  </si>
  <si>
    <t xml:space="preserve">Animal Leadership (D)</t>
  </si>
  <si>
    <t xml:space="preserve">Defense (D)</t>
  </si>
  <si>
    <t xml:space="preserve">Unmount (D)</t>
  </si>
  <si>
    <t xml:space="preserve">Detect Influence (D)</t>
  </si>
  <si>
    <t xml:space="preserve">Mind Wave (D)</t>
  </si>
  <si>
    <t xml:space="preserve">Mind Armor (D)</t>
  </si>
  <si>
    <t xml:space="preserve">Summoning Circle (D)</t>
  </si>
  <si>
    <t xml:space="preserve">Plant Shelter (D)</t>
  </si>
  <si>
    <t xml:space="preserve">Storm Shield (D)</t>
  </si>
  <si>
    <t xml:space="preserve">Champion Challenge (D)</t>
  </si>
  <si>
    <t xml:space="preserve">Body Blade (D)</t>
  </si>
  <si>
    <t xml:space="preserve">Song of Deflection (D)</t>
  </si>
  <si>
    <t xml:space="preserve">Weapon Ward (D)</t>
  </si>
  <si>
    <t xml:space="preserve">Trace Missile (D)</t>
  </si>
  <si>
    <t xml:space="preserve">Dominate Arrow (D)</t>
  </si>
  <si>
    <t xml:space="preserve">Develop Animal Sense (D)</t>
  </si>
  <si>
    <t xml:space="preserve">Tame Mount (D)</t>
  </si>
  <si>
    <t xml:space="preserve">Astral Pocket (D)</t>
  </si>
  <si>
    <t xml:space="preserve">Reshape Object (D)</t>
  </si>
  <si>
    <t xml:space="preserve">Suppress Influence (D)</t>
  </si>
  <si>
    <t xml:space="preserve">Multi-Tongue (D)</t>
  </si>
  <si>
    <t xml:space="preserve">Escape Divination (D)</t>
  </si>
  <si>
    <t xml:space="preserve">Netherwalk (D)</t>
  </si>
  <si>
    <t xml:space="preserve">Vitality (D)</t>
  </si>
  <si>
    <t xml:space="preserve">Truth Skit (D)</t>
  </si>
  <si>
    <t xml:space="preserve">Infuse Armor (D)</t>
  </si>
  <si>
    <t xml:space="preserve">Casting Pattern (D)</t>
  </si>
  <si>
    <t xml:space="preserve">Woodspeak (D)</t>
  </si>
  <si>
    <t xml:space="preserve">Rally (D)</t>
  </si>
  <si>
    <t xml:space="preserve">Blind Fire (D)</t>
  </si>
  <si>
    <t xml:space="preserve">Bestial Resilience (D)</t>
  </si>
  <si>
    <t xml:space="preserve">Infuse Blade (D)</t>
  </si>
  <si>
    <t xml:space="preserve">Thoughtful Expression (D)</t>
  </si>
  <si>
    <t xml:space="preserve">Impossible Hide (D)</t>
  </si>
  <si>
    <t xml:space="preserve">Bone Compass (D)</t>
  </si>
  <si>
    <t xml:space="preserve">Weapon Breaker (D)</t>
  </si>
  <si>
    <t xml:space="preserve">Earth Armor (D)</t>
  </si>
  <si>
    <t xml:space="preserve">Weapon Braker (D)</t>
  </si>
  <si>
    <t xml:space="preserve">Animate Object (D)</t>
  </si>
  <si>
    <t xml:space="preserve">Defemse (D)</t>
  </si>
  <si>
    <t xml:space="preserve">Wound Transfer (D)</t>
  </si>
  <si>
    <t xml:space="preserve">Second Chance (D)</t>
  </si>
  <si>
    <t xml:space="preserve">Multi-Shot (D)</t>
  </si>
  <si>
    <t xml:space="preserve">Gain Surprise (D)</t>
  </si>
  <si>
    <t xml:space="preserve">Echo Location (D)</t>
  </si>
  <si>
    <t xml:space="preserve">Moving Earth (D)</t>
  </si>
  <si>
    <t xml:space="preserve">Confront Horror (D)</t>
  </si>
  <si>
    <t xml:space="preserve">Multi-Weaving (D)</t>
  </si>
  <si>
    <t xml:space="preserve">Elemental Walk (D)</t>
  </si>
  <si>
    <t xml:space="preserve">Spell Crystal Lock (D)</t>
  </si>
  <si>
    <t xml:space="preserve">First Ring of Perfection (D)</t>
  </si>
  <si>
    <t xml:space="preserve">Vital Strike (D)</t>
  </si>
  <si>
    <t xml:space="preserve">Water Dancing (D)</t>
  </si>
  <si>
    <t xml:space="preserve">Aura Armor (D)</t>
  </si>
  <si>
    <t xml:space="preserve">Stone Skin (D)</t>
  </si>
  <si>
    <t xml:space="preserve">Ethereal Weapon (D)</t>
  </si>
  <si>
    <t xml:space="preserve">Effect Pattern (D)</t>
  </si>
  <si>
    <t xml:space="preserve">Rushing Attack (D)</t>
  </si>
  <si>
    <t xml:space="preserve">Screaming Arrow (D)</t>
  </si>
  <si>
    <t xml:space="preserve">Venom (D)</t>
  </si>
  <si>
    <t xml:space="preserve">Multi-Strike (D)</t>
  </si>
  <si>
    <t xml:space="preserve">First Ring of Protection (D)</t>
  </si>
  <si>
    <t xml:space="preserve">Woodwalk (D)</t>
  </si>
  <si>
    <t xml:space="preserve">Vitality  (D)</t>
  </si>
  <si>
    <t xml:space="preserve">Wind Bow (D)</t>
  </si>
  <si>
    <t xml:space="preserve">Astral Web (D)</t>
  </si>
  <si>
    <t xml:space="preserve">Multi-Charge (D)</t>
  </si>
  <si>
    <t xml:space="preserve">Soul Shatter (D)</t>
  </si>
  <si>
    <t xml:space="preserve">Etheral Weapon (D)</t>
  </si>
  <si>
    <t xml:space="preserve">DURABILITY</t>
  </si>
  <si>
    <t xml:space="preserve">Air Sailor</t>
  </si>
  <si>
    <t xml:space="preserve">Death R.</t>
  </si>
  <si>
    <t xml:space="preserve">IMPROVEMENTS BY DISCIPLINE (PD/SD/SOD/iNiT/REC)</t>
  </si>
  <si>
    <t xml:space="preserve">illusionist</t>
  </si>
  <si>
    <t xml:space="preserve">00000</t>
  </si>
  <si>
    <t xml:space="preserve">10000</t>
  </si>
  <si>
    <t xml:space="preserve">01000</t>
  </si>
  <si>
    <t xml:space="preserve">00100</t>
  </si>
  <si>
    <t xml:space="preserve">10000D</t>
  </si>
  <si>
    <t xml:space="preserve">10000C</t>
  </si>
  <si>
    <t xml:space="preserve">10000P </t>
  </si>
  <si>
    <t xml:space="preserve">01000P</t>
  </si>
  <si>
    <t xml:space="preserve">01000W</t>
  </si>
  <si>
    <t xml:space="preserve">10000P</t>
  </si>
  <si>
    <t xml:space="preserve">10000S</t>
  </si>
  <si>
    <t xml:space="preserve">10000T</t>
  </si>
  <si>
    <t xml:space="preserve">00100C</t>
  </si>
  <si>
    <t xml:space="preserve">00100D</t>
  </si>
  <si>
    <t xml:space="preserve">00100P</t>
  </si>
  <si>
    <t xml:space="preserve">00000P</t>
  </si>
  <si>
    <t xml:space="preserve">10000DC</t>
  </si>
  <si>
    <t xml:space="preserve">10000DP</t>
  </si>
  <si>
    <t xml:space="preserve">10000CW</t>
  </si>
  <si>
    <t xml:space="preserve">10000CD</t>
  </si>
  <si>
    <t xml:space="preserve">10000PD</t>
  </si>
  <si>
    <t xml:space="preserve">01000PW</t>
  </si>
  <si>
    <t xml:space="preserve">01000WP</t>
  </si>
  <si>
    <t xml:space="preserve">10000PW</t>
  </si>
  <si>
    <t xml:space="preserve">10000SW</t>
  </si>
  <si>
    <t xml:space="preserve">10000ST</t>
  </si>
  <si>
    <t xml:space="preserve">10000TD</t>
  </si>
  <si>
    <t xml:space="preserve">00100CP</t>
  </si>
  <si>
    <t xml:space="preserve">00100DC</t>
  </si>
  <si>
    <t xml:space="preserve">10000DS</t>
  </si>
  <si>
    <t xml:space="preserve">10000CP</t>
  </si>
  <si>
    <t xml:space="preserve">00100PC</t>
  </si>
  <si>
    <t xml:space="preserve">10000SD</t>
  </si>
  <si>
    <t xml:space="preserve">00000PD</t>
  </si>
  <si>
    <t xml:space="preserve">10000DCA</t>
  </si>
  <si>
    <t xml:space="preserve">10000DPI</t>
  </si>
  <si>
    <t xml:space="preserve">01000DPI</t>
  </si>
  <si>
    <t xml:space="preserve">10000CWK</t>
  </si>
  <si>
    <t xml:space="preserve">10000DCN</t>
  </si>
  <si>
    <t xml:space="preserve">10000CDM</t>
  </si>
  <si>
    <t xml:space="preserve">01000PWF</t>
  </si>
  <si>
    <t xml:space="preserve">01000WPZ</t>
  </si>
  <si>
    <t xml:space="preserve">10000CWQ</t>
  </si>
  <si>
    <t xml:space="preserve">10000SWE</t>
  </si>
  <si>
    <t xml:space="preserve">10000STU</t>
  </si>
  <si>
    <t xml:space="preserve">10000TDE</t>
  </si>
  <si>
    <t xml:space="preserve">01000WPF</t>
  </si>
  <si>
    <t xml:space="preserve">00100CPA</t>
  </si>
  <si>
    <t xml:space="preserve">00100DCE</t>
  </si>
  <si>
    <t xml:space="preserve">10000DCE</t>
  </si>
  <si>
    <t xml:space="preserve">00100DCX</t>
  </si>
  <si>
    <t xml:space="preserve">10000DSL</t>
  </si>
  <si>
    <t xml:space="preserve">00100PCV</t>
  </si>
  <si>
    <t xml:space="preserve">10000SDE</t>
  </si>
  <si>
    <t xml:space="preserve">00100CPJ</t>
  </si>
  <si>
    <t xml:space="preserve">10000PDY</t>
  </si>
  <si>
    <t xml:space="preserve">200000DCAR</t>
  </si>
  <si>
    <t xml:space="preserve">20000DPI</t>
  </si>
  <si>
    <t xml:space="preserve">02000DPI</t>
  </si>
  <si>
    <t xml:space="preserve">20000CWK</t>
  </si>
  <si>
    <t xml:space="preserve">20000DCN</t>
  </si>
  <si>
    <t xml:space="preserve">20000CDM</t>
  </si>
  <si>
    <t xml:space="preserve">20000DC</t>
  </si>
  <si>
    <t xml:space="preserve">20000PD</t>
  </si>
  <si>
    <t xml:space="preserve">02000PWF</t>
  </si>
  <si>
    <t xml:space="preserve">02000WPZ</t>
  </si>
  <si>
    <t xml:space="preserve">20000CWQ</t>
  </si>
  <si>
    <t xml:space="preserve">20000PW</t>
  </si>
  <si>
    <t xml:space="preserve">20000SWE</t>
  </si>
  <si>
    <t xml:space="preserve">20000STU</t>
  </si>
  <si>
    <t xml:space="preserve">20000TDE</t>
  </si>
  <si>
    <t xml:space="preserve">02000WPF</t>
  </si>
  <si>
    <t xml:space="preserve">00200CPA</t>
  </si>
  <si>
    <t xml:space="preserve">00200DCE</t>
  </si>
  <si>
    <t xml:space="preserve">20000DCE</t>
  </si>
  <si>
    <t xml:space="preserve">00200DCX</t>
  </si>
  <si>
    <t xml:space="preserve">20000DSL</t>
  </si>
  <si>
    <t xml:space="preserve">20000DP</t>
  </si>
  <si>
    <t xml:space="preserve">20000CP</t>
  </si>
  <si>
    <t xml:space="preserve">00200PCV</t>
  </si>
  <si>
    <t xml:space="preserve">00200CP</t>
  </si>
  <si>
    <t xml:space="preserve">20000SDE</t>
  </si>
  <si>
    <t xml:space="preserve">02000WP</t>
  </si>
  <si>
    <t xml:space="preserve">00200CPJ</t>
  </si>
  <si>
    <t xml:space="preserve">20000PDY</t>
  </si>
  <si>
    <t xml:space="preserve">11000PD</t>
  </si>
  <si>
    <t xml:space="preserve">20001DPIR</t>
  </si>
  <si>
    <t xml:space="preserve">02001DPIR</t>
  </si>
  <si>
    <t xml:space="preserve">20000CWKR</t>
  </si>
  <si>
    <t xml:space="preserve">20000DCNR</t>
  </si>
  <si>
    <t xml:space="preserve">20000CDMR</t>
  </si>
  <si>
    <t xml:space="preserve">20000DCR</t>
  </si>
  <si>
    <t xml:space="preserve">20000PDR</t>
  </si>
  <si>
    <t xml:space="preserve">02000PWFR</t>
  </si>
  <si>
    <t xml:space="preserve">02000WPZR</t>
  </si>
  <si>
    <t xml:space="preserve">20000CWQR</t>
  </si>
  <si>
    <t xml:space="preserve">20000PWR</t>
  </si>
  <si>
    <t xml:space="preserve">20000SWER</t>
  </si>
  <si>
    <t xml:space="preserve">20000STUR</t>
  </si>
  <si>
    <t xml:space="preserve">20000TDER</t>
  </si>
  <si>
    <t xml:space="preserve">02000WPFR</t>
  </si>
  <si>
    <t xml:space="preserve">00200CPAR</t>
  </si>
  <si>
    <t xml:space="preserve">00200DCER</t>
  </si>
  <si>
    <t xml:space="preserve">20000DCER</t>
  </si>
  <si>
    <t xml:space="preserve">00200DCXR</t>
  </si>
  <si>
    <t xml:space="preserve">20000DSLR</t>
  </si>
  <si>
    <t xml:space="preserve">20000DPR</t>
  </si>
  <si>
    <t xml:space="preserve">20000CPR</t>
  </si>
  <si>
    <t xml:space="preserve">00200PCVR</t>
  </si>
  <si>
    <t xml:space="preserve">00200CPR</t>
  </si>
  <si>
    <t xml:space="preserve">20000SDER</t>
  </si>
  <si>
    <t xml:space="preserve">02000WPR</t>
  </si>
  <si>
    <t xml:space="preserve">00200CPJR</t>
  </si>
  <si>
    <t xml:space="preserve">20000PDYR</t>
  </si>
  <si>
    <t xml:space="preserve">11010PDR</t>
  </si>
  <si>
    <t xml:space="preserve">300000DCARP</t>
  </si>
  <si>
    <t xml:space="preserve">30010DPIR</t>
  </si>
  <si>
    <t xml:space="preserve">03010DPIR</t>
  </si>
  <si>
    <t xml:space="preserve">30001CWKR</t>
  </si>
  <si>
    <t xml:space="preserve">30000DCNRW</t>
  </si>
  <si>
    <t xml:space="preserve">30010CDMR</t>
  </si>
  <si>
    <t xml:space="preserve">30010DCR</t>
  </si>
  <si>
    <t xml:space="preserve">30001PDR</t>
  </si>
  <si>
    <t xml:space="preserve">03000PWFRG</t>
  </si>
  <si>
    <t xml:space="preserve">03010WPZR</t>
  </si>
  <si>
    <t xml:space="preserve">03000PWFRC</t>
  </si>
  <si>
    <t xml:space="preserve">30010CWQR</t>
  </si>
  <si>
    <t xml:space="preserve">30000PWRC</t>
  </si>
  <si>
    <t xml:space="preserve">30000SWERT</t>
  </si>
  <si>
    <t xml:space="preserve">30010STUR</t>
  </si>
  <si>
    <t xml:space="preserve">30000TDERS</t>
  </si>
  <si>
    <t xml:space="preserve">03000WPFRG</t>
  </si>
  <si>
    <t xml:space="preserve">00301CPAR</t>
  </si>
  <si>
    <t xml:space="preserve">00301DCER</t>
  </si>
  <si>
    <t xml:space="preserve">30001DCER</t>
  </si>
  <si>
    <t xml:space="preserve">00301DCXR</t>
  </si>
  <si>
    <t xml:space="preserve">30000DSLR</t>
  </si>
  <si>
    <t xml:space="preserve">30010DPR</t>
  </si>
  <si>
    <t xml:space="preserve">30010CPR</t>
  </si>
  <si>
    <t xml:space="preserve">00301PCVR</t>
  </si>
  <si>
    <t xml:space="preserve">00300CPRD</t>
  </si>
  <si>
    <t xml:space="preserve">30000SDERW</t>
  </si>
  <si>
    <t xml:space="preserve">03000WPRS</t>
  </si>
  <si>
    <t xml:space="preserve">00300CPJRD</t>
  </si>
  <si>
    <t xml:space="preserve">30001TDER</t>
  </si>
  <si>
    <t xml:space="preserve">30001PDYR</t>
  </si>
  <si>
    <t xml:space="preserve">31101DCARP</t>
  </si>
  <si>
    <t xml:space="preserve">31111DPIR</t>
  </si>
  <si>
    <t xml:space="preserve">13111DPIR</t>
  </si>
  <si>
    <t xml:space="preserve">31101CWKRT</t>
  </si>
  <si>
    <t xml:space="preserve">31110DCNRW</t>
  </si>
  <si>
    <t xml:space="preserve">31110CDMR</t>
  </si>
  <si>
    <t xml:space="preserve">31110DCR</t>
  </si>
  <si>
    <t xml:space="preserve">31101PDRC</t>
  </si>
  <si>
    <t xml:space="preserve">13100PWFRG</t>
  </si>
  <si>
    <t xml:space="preserve">12110WPZR</t>
  </si>
  <si>
    <t xml:space="preserve">13110PWFRC</t>
  </si>
  <si>
    <t xml:space="preserve">31110CWQR</t>
  </si>
  <si>
    <t xml:space="preserve">31100PWRC</t>
  </si>
  <si>
    <t xml:space="preserve">31100SWERT</t>
  </si>
  <si>
    <t xml:space="preserve">31110STURW</t>
  </si>
  <si>
    <t xml:space="preserve">31100TDERS</t>
  </si>
  <si>
    <t xml:space="preserve">13100WPFRGC</t>
  </si>
  <si>
    <t xml:space="preserve">11311CPAR</t>
  </si>
  <si>
    <t xml:space="preserve">11301DCER</t>
  </si>
  <si>
    <t xml:space="preserve">31101DCER</t>
  </si>
  <si>
    <t xml:space="preserve">11301DCXR</t>
  </si>
  <si>
    <t xml:space="preserve">31100DSLR</t>
  </si>
  <si>
    <t xml:space="preserve">31110DPR</t>
  </si>
  <si>
    <t xml:space="preserve">31110CPR</t>
  </si>
  <si>
    <t xml:space="preserve">11301PCVRW</t>
  </si>
  <si>
    <t xml:space="preserve">11310CPRD</t>
  </si>
  <si>
    <t xml:space="preserve">31100SDERW</t>
  </si>
  <si>
    <t xml:space="preserve">13110WPRS</t>
  </si>
  <si>
    <t xml:space="preserve">11301CPJRD</t>
  </si>
  <si>
    <t xml:space="preserve">31101TDER</t>
  </si>
  <si>
    <t xml:space="preserve">31101PDYR</t>
  </si>
  <si>
    <t xml:space="preserve">13100PWFRC</t>
  </si>
  <si>
    <t xml:space="preserve">21110PDR</t>
  </si>
  <si>
    <t xml:space="preserve">41111DCARP</t>
  </si>
  <si>
    <t xml:space="preserve">41121DPIR</t>
  </si>
  <si>
    <t xml:space="preserve">14121DPIR</t>
  </si>
  <si>
    <t xml:space="preserve">41111CWKRT</t>
  </si>
  <si>
    <t xml:space="preserve">41111DCNRW</t>
  </si>
  <si>
    <t xml:space="preserve">41110CDMRW</t>
  </si>
  <si>
    <t xml:space="preserve">41111DCR</t>
  </si>
  <si>
    <t xml:space="preserve">41111PDRC</t>
  </si>
  <si>
    <t xml:space="preserve">14110PWFRG</t>
  </si>
  <si>
    <t xml:space="preserve">13111WPZR</t>
  </si>
  <si>
    <t xml:space="preserve">13111PWFRC</t>
  </si>
  <si>
    <t xml:space="preserve">41111CWQR</t>
  </si>
  <si>
    <t xml:space="preserve">41101PWRC</t>
  </si>
  <si>
    <t xml:space="preserve">14101PWFRG</t>
  </si>
  <si>
    <t xml:space="preserve">41100SWERT</t>
  </si>
  <si>
    <t xml:space="preserve">41120STURW</t>
  </si>
  <si>
    <t xml:space="preserve">41110TDERS</t>
  </si>
  <si>
    <t xml:space="preserve">14101WPFRGC</t>
  </si>
  <si>
    <t xml:space="preserve">12311CPARW</t>
  </si>
  <si>
    <t xml:space="preserve">11411DCER</t>
  </si>
  <si>
    <t xml:space="preserve">41111DCER</t>
  </si>
  <si>
    <t xml:space="preserve">11411DCXR</t>
  </si>
  <si>
    <t xml:space="preserve">41110DSLR</t>
  </si>
  <si>
    <t xml:space="preserve">41111DPR</t>
  </si>
  <si>
    <t xml:space="preserve">41111CPR</t>
  </si>
  <si>
    <t xml:space="preserve">11411PCVRW</t>
  </si>
  <si>
    <t xml:space="preserve">11411CPRD</t>
  </si>
  <si>
    <t xml:space="preserve">41100SDERW</t>
  </si>
  <si>
    <t xml:space="preserve">14111WPRS</t>
  </si>
  <si>
    <t xml:space="preserve">11411CPJRD</t>
  </si>
  <si>
    <t xml:space="preserve">41101TDER</t>
  </si>
  <si>
    <t xml:space="preserve">41111PDYR</t>
  </si>
  <si>
    <t xml:space="preserve">14101PWFRC</t>
  </si>
  <si>
    <t xml:space="preserve">22210PDR</t>
  </si>
  <si>
    <t xml:space="preserve">41211DCARP</t>
  </si>
  <si>
    <t xml:space="preserve">42121DPIR</t>
  </si>
  <si>
    <t xml:space="preserve">24121DPIR</t>
  </si>
  <si>
    <t xml:space="preserve">41211CWKRT</t>
  </si>
  <si>
    <t xml:space="preserve">41211DCNRW</t>
  </si>
  <si>
    <t xml:space="preserve">41210CDMRW</t>
  </si>
  <si>
    <t xml:space="preserve">42111DCR</t>
  </si>
  <si>
    <t xml:space="preserve">42111PDRC</t>
  </si>
  <si>
    <t xml:space="preserve">14210PWFRG</t>
  </si>
  <si>
    <t xml:space="preserve">23111WPZR</t>
  </si>
  <si>
    <t xml:space="preserve">13211PWFRC</t>
  </si>
  <si>
    <t xml:space="preserve">41211CWQR</t>
  </si>
  <si>
    <t xml:space="preserve">42101PWRC</t>
  </si>
  <si>
    <t xml:space="preserve">14201PWFRG</t>
  </si>
  <si>
    <t xml:space="preserve">42100SWERT</t>
  </si>
  <si>
    <t xml:space="preserve">42120STURW</t>
  </si>
  <si>
    <t xml:space="preserve">41210TDERS</t>
  </si>
  <si>
    <t xml:space="preserve">14201WPFRGC</t>
  </si>
  <si>
    <t xml:space="preserve">13311CPARW</t>
  </si>
  <si>
    <t xml:space="preserve">21411DCER</t>
  </si>
  <si>
    <t xml:space="preserve">41211DCER</t>
  </si>
  <si>
    <t xml:space="preserve">21411DCXR</t>
  </si>
  <si>
    <t xml:space="preserve">41210DSLR</t>
  </si>
  <si>
    <t xml:space="preserve">42111DPR</t>
  </si>
  <si>
    <t xml:space="preserve">42111CPR</t>
  </si>
  <si>
    <t xml:space="preserve">12411PCVRW</t>
  </si>
  <si>
    <t xml:space="preserve">12411CPRD</t>
  </si>
  <si>
    <t xml:space="preserve">42100SDERW</t>
  </si>
  <si>
    <t xml:space="preserve">14211WPRS</t>
  </si>
  <si>
    <t xml:space="preserve">21411CPJRD</t>
  </si>
  <si>
    <t xml:space="preserve">42101TDER</t>
  </si>
  <si>
    <t xml:space="preserve">42111PDYR</t>
  </si>
  <si>
    <t xml:space="preserve">14201PWFRC</t>
  </si>
  <si>
    <t xml:space="preserve">32210PDR</t>
  </si>
  <si>
    <t xml:space="preserve">51212DCARP</t>
  </si>
  <si>
    <t xml:space="preserve">42131DPIR</t>
  </si>
  <si>
    <t xml:space="preserve">24131DPIR</t>
  </si>
  <si>
    <t xml:space="preserve">41212CWKRT</t>
  </si>
  <si>
    <t xml:space="preserve">51231DCNRW</t>
  </si>
  <si>
    <t xml:space="preserve">51230DMRW</t>
  </si>
  <si>
    <t xml:space="preserve">52131DCR</t>
  </si>
  <si>
    <t xml:space="preserve">52112PDRC</t>
  </si>
  <si>
    <t xml:space="preserve">14212PWFRG</t>
  </si>
  <si>
    <t xml:space="preserve">24112WPZR</t>
  </si>
  <si>
    <t xml:space="preserve">14231PWFRC</t>
  </si>
  <si>
    <t xml:space="preserve">51221CWQR</t>
  </si>
  <si>
    <t xml:space="preserve">52112PWRC</t>
  </si>
  <si>
    <t xml:space="preserve">15202PWFRG</t>
  </si>
  <si>
    <t xml:space="preserve">52110SWERT</t>
  </si>
  <si>
    <t xml:space="preserve">52130STURW</t>
  </si>
  <si>
    <t xml:space="preserve">51220TDERS</t>
  </si>
  <si>
    <t xml:space="preserve">15202WPFRGC</t>
  </si>
  <si>
    <t xml:space="preserve">13412CPARW</t>
  </si>
  <si>
    <t xml:space="preserve">21511DCERP</t>
  </si>
  <si>
    <t xml:space="preserve">51211DCERP</t>
  </si>
  <si>
    <t xml:space="preserve">21511DCXRP</t>
  </si>
  <si>
    <t xml:space="preserve">51211DSLR</t>
  </si>
  <si>
    <t xml:space="preserve">52131DPR</t>
  </si>
  <si>
    <t xml:space="preserve">52131CPR</t>
  </si>
  <si>
    <t xml:space="preserve">12512PCVRW</t>
  </si>
  <si>
    <t xml:space="preserve">12512CPRD</t>
  </si>
  <si>
    <t xml:space="preserve">52110SDERW</t>
  </si>
  <si>
    <t xml:space="preserve">15211WPRST</t>
  </si>
  <si>
    <t xml:space="preserve">21512CPJRD</t>
  </si>
  <si>
    <t xml:space="preserve">52111TDER</t>
  </si>
  <si>
    <t xml:space="preserve">52122PDYR</t>
  </si>
  <si>
    <t xml:space="preserve">15221PWFRC</t>
  </si>
  <si>
    <t xml:space="preserve">43221PDR</t>
  </si>
  <si>
    <t xml:space="preserve">52322DCARPK</t>
  </si>
  <si>
    <t xml:space="preserve">43232DPIR</t>
  </si>
  <si>
    <t xml:space="preserve">34232DPIR</t>
  </si>
  <si>
    <t xml:space="preserve">42312CWKRT</t>
  </si>
  <si>
    <t xml:space="preserve">52331DCNRW</t>
  </si>
  <si>
    <t xml:space="preserve">52330DMRW</t>
  </si>
  <si>
    <t xml:space="preserve">53232DCR</t>
  </si>
  <si>
    <t xml:space="preserve">53222PDRC</t>
  </si>
  <si>
    <t xml:space="preserve">24322PWFRG</t>
  </si>
  <si>
    <t xml:space="preserve">34212WPZR</t>
  </si>
  <si>
    <t xml:space="preserve">24331PWFRC</t>
  </si>
  <si>
    <t xml:space="preserve">52321CWQR</t>
  </si>
  <si>
    <t xml:space="preserve">53222PWRC</t>
  </si>
  <si>
    <t xml:space="preserve">25322PWFRG</t>
  </si>
  <si>
    <t xml:space="preserve">53210SWERT</t>
  </si>
  <si>
    <t xml:space="preserve">53230STURW</t>
  </si>
  <si>
    <t xml:space="preserve">52320TDERS</t>
  </si>
  <si>
    <t xml:space="preserve">25312WPFRGC</t>
  </si>
  <si>
    <t xml:space="preserve">24422CPARW</t>
  </si>
  <si>
    <t xml:space="preserve">32521DCERP</t>
  </si>
  <si>
    <t xml:space="preserve">52321DCERP</t>
  </si>
  <si>
    <t xml:space="preserve">32521DCXRP</t>
  </si>
  <si>
    <t xml:space="preserve">52321DSLR</t>
  </si>
  <si>
    <t xml:space="preserve">53232DPR</t>
  </si>
  <si>
    <t xml:space="preserve">53232CPR</t>
  </si>
  <si>
    <t xml:space="preserve">23522PCVRW</t>
  </si>
  <si>
    <t xml:space="preserve">13521CPRD</t>
  </si>
  <si>
    <t xml:space="preserve">53210SDERW</t>
  </si>
  <si>
    <t xml:space="preserve">25212WPRST</t>
  </si>
  <si>
    <t xml:space="preserve">32522CPJRD</t>
  </si>
  <si>
    <t xml:space="preserve">53211TDER</t>
  </si>
  <si>
    <t xml:space="preserve">53232PDYR</t>
  </si>
  <si>
    <t xml:space="preserve">25321PWFRC</t>
  </si>
  <si>
    <t xml:space="preserve">53232PDR</t>
  </si>
  <si>
    <t xml:space="preserve">Karma+1</t>
  </si>
  <si>
    <t xml:space="preserve">Collaborate</t>
  </si>
  <si>
    <t xml:space="preserve">Arrow's Eye View</t>
  </si>
  <si>
    <t xml:space="preserve">Primal Urge</t>
  </si>
  <si>
    <t xml:space="preserve">Flow of Kiatsu</t>
  </si>
  <si>
    <t xml:space="preserve">Masterful Horseman</t>
  </si>
  <si>
    <t xml:space="preserve">Thieves' Tongue</t>
  </si>
  <si>
    <t xml:space="preserve">Enhance Senses</t>
  </si>
  <si>
    <t xml:space="preserve">Fire and Ice</t>
  </si>
  <si>
    <t xml:space="preserve">Spiritual Sanctuary</t>
  </si>
  <si>
    <t xml:space="preserve">Glamour</t>
  </si>
  <si>
    <t xml:space="preserve">Shield of the Weak</t>
  </si>
  <si>
    <t xml:space="preserve">Encrypt</t>
  </si>
  <si>
    <t xml:space="preserve">Decay and Renewal</t>
  </si>
  <si>
    <t xml:space="preserve">Katorr's Rebuke</t>
  </si>
  <si>
    <t xml:space="preserve">Cleanse</t>
  </si>
  <si>
    <t xml:space="preserve">Strike without Warning</t>
  </si>
  <si>
    <t xml:space="preserve">Land and Sea</t>
  </si>
  <si>
    <t xml:space="preserve">Centerpiece</t>
  </si>
  <si>
    <t xml:space="preserve">Flourish</t>
  </si>
  <si>
    <t xml:space="preserve">Regrow Tail</t>
  </si>
  <si>
    <t xml:space="preserve">Quest for Knowledge</t>
  </si>
  <si>
    <t xml:space="preserve">One Last Word</t>
  </si>
  <si>
    <t xml:space="preserve">Battle Rites</t>
  </si>
  <si>
    <t xml:space="preserve">Traveling Smithy</t>
  </si>
  <si>
    <t xml:space="preserve">Judgement Call</t>
  </si>
  <si>
    <t xml:space="preserve">Dive Mastery</t>
  </si>
  <si>
    <t xml:space="preserve">Step Outside</t>
  </si>
  <si>
    <t xml:space="preserve">Book Mage</t>
  </si>
  <si>
    <t xml:space="preserve">Hunter's Strike</t>
  </si>
  <si>
    <t xml:space="preserve">Determined Charge</t>
  </si>
  <si>
    <t xml:space="preserve">Create Arrow</t>
  </si>
  <si>
    <t xml:space="preserve">Tough Hide</t>
  </si>
  <si>
    <t xml:space="preserve">Strength of Jik'harra</t>
  </si>
  <si>
    <t xml:space="preserve">Gait Mastery</t>
  </si>
  <si>
    <t xml:space="preserve">Special Karma Spend Ability</t>
  </si>
  <si>
    <t xml:space="preserve">Earth and Wind</t>
  </si>
  <si>
    <t xml:space="preserve">Horror Trap</t>
  </si>
  <si>
    <t xml:space="preserve">Hide Matrix</t>
  </si>
  <si>
    <t xml:space="preserve">Freedom Quest</t>
  </si>
  <si>
    <t xml:space="preserve">Otherworldly Control</t>
  </si>
  <si>
    <t xml:space="preserve">Truce</t>
  </si>
  <si>
    <t xml:space="preserve">Earth's Avenger</t>
  </si>
  <si>
    <t xml:space="preserve">Strength of the Sky</t>
  </si>
  <si>
    <t xml:space="preserve">Cloak of Sky and Water</t>
  </si>
  <si>
    <t xml:space="preserve">Critic's Verdict</t>
  </si>
  <si>
    <t xml:space="preserve">Weapon Bond</t>
  </si>
  <si>
    <t xml:space="preserve">Prehensile Tail</t>
  </si>
  <si>
    <t xml:space="preserve">Karma on Melee and Ranged Dam</t>
  </si>
  <si>
    <t xml:space="preserve">Indexing</t>
  </si>
  <si>
    <t xml:space="preserve">Battlefield Awareness</t>
  </si>
  <si>
    <t xml:space="preserve">Karma on Damage Test w/ Self made Weapons</t>
  </si>
  <si>
    <t xml:space="preserve">Captivate</t>
  </si>
  <si>
    <t xml:space="preserve">Wind Dodge</t>
  </si>
  <si>
    <t xml:space="preserve">Reconaissance</t>
  </si>
  <si>
    <t xml:space="preserve">Matrix Split</t>
  </si>
  <si>
    <t xml:space="preserve">Guardian's Service</t>
  </si>
  <si>
    <t xml:space="preserve">Safe Passage</t>
  </si>
  <si>
    <t xml:space="preserve">Hail of Arrows</t>
  </si>
  <si>
    <t xml:space="preserve">Wild Sense</t>
  </si>
  <si>
    <t xml:space="preserve">Forging P'skarrot</t>
  </si>
  <si>
    <t xml:space="preserve">Resurrect Mount</t>
  </si>
  <si>
    <t xml:space="preserve">Shadowcloak</t>
  </si>
  <si>
    <t xml:space="preserve">Blend</t>
  </si>
  <si>
    <t xml:space="preserve">Element Matrix</t>
  </si>
  <si>
    <t xml:space="preserve">Wrath Manifest</t>
  </si>
  <si>
    <t xml:space="preserve">Truth Interpreted</t>
  </si>
  <si>
    <t xml:space="preserve">Heart of Rebellion</t>
  </si>
  <si>
    <t xml:space="preserve">Endurance</t>
  </si>
  <si>
    <t xml:space="preserve">Astral Face</t>
  </si>
  <si>
    <t xml:space="preserve">Honorable Reputation</t>
  </si>
  <si>
    <t xml:space="preserve">Sanctify</t>
  </si>
  <si>
    <t xml:space="preserve">Lightning Song</t>
  </si>
  <si>
    <t xml:space="preserve">Resurrect Self</t>
  </si>
  <si>
    <t xml:space="preserve">Pinnacle of Comprehension</t>
  </si>
  <si>
    <t xml:space="preserve">Masterpiece</t>
  </si>
  <si>
    <t xml:space="preserve">Keen Blade</t>
  </si>
  <si>
    <t xml:space="preserve">Any Att. Test with Tail</t>
  </si>
  <si>
    <t xml:space="preserve">Wisdom of the Ages</t>
  </si>
  <si>
    <t xml:space="preserve">Ghost Song</t>
  </si>
  <si>
    <t xml:space="preserve">Elementalism</t>
  </si>
  <si>
    <t xml:space="preserve">Wing Mastery</t>
  </si>
  <si>
    <t xml:space="preserve">Casting Triangle</t>
  </si>
  <si>
    <t xml:space="preserve">Forest Sense</t>
  </si>
  <si>
    <t xml:space="preserve">Shadow Heal</t>
  </si>
  <si>
    <t xml:space="preserve">One with the World</t>
  </si>
  <si>
    <t xml:space="preserve">One with the Message</t>
  </si>
  <si>
    <t xml:space="preserve">Formidable Assesment</t>
  </si>
  <si>
    <t xml:space="preserve">Craft Mastery</t>
  </si>
  <si>
    <t xml:space="preserve">TALENT KNACKS,  BY DISCIPLINE</t>
  </si>
  <si>
    <t xml:space="preserve">Air Legs</t>
  </si>
  <si>
    <t xml:space="preserve">Adept's Best Friend</t>
  </si>
  <si>
    <t xml:space="preserve">Armor Beater</t>
  </si>
  <si>
    <t xml:space="preserve">Act on Instinct</t>
  </si>
  <si>
    <t xml:space="preserve">Angelic Appearance</t>
  </si>
  <si>
    <t xml:space="preserve">Arcane Curses</t>
  </si>
  <si>
    <t xml:space="preserve">Act On Instinct</t>
  </si>
  <si>
    <t xml:space="preserve">Talent Pattern</t>
  </si>
  <si>
    <t xml:space="preserve">Animal's Best Friend</t>
  </si>
  <si>
    <t xml:space="preserve">Arrow Catch</t>
  </si>
  <si>
    <t xml:space="preserve">Air Mount</t>
  </si>
  <si>
    <t xml:space="preserve">Air Conditioning</t>
  </si>
  <si>
    <t xml:space="preserve">Astral Spy</t>
  </si>
  <si>
    <t xml:space="preserve">Anchored Spell</t>
  </si>
  <si>
    <t xml:space="preserve">Attribute Pattern</t>
  </si>
  <si>
    <t xml:space="preserve">Astral Hideout</t>
  </si>
  <si>
    <t xml:space="preserve">Arrow Cutting</t>
  </si>
  <si>
    <t xml:space="preserve">Astral Tracking</t>
  </si>
  <si>
    <t xml:space="preserve">Bless Ally</t>
  </si>
  <si>
    <t xml:space="preserve">Covey Item</t>
  </si>
  <si>
    <t xml:space="preserve">Attirbute Pattern</t>
  </si>
  <si>
    <t xml:space="preserve">Assault</t>
  </si>
  <si>
    <t xml:space="preserve">Arrow Stop</t>
  </si>
  <si>
    <t xml:space="preserve">Bounce</t>
  </si>
  <si>
    <t xml:space="preserve">Create Armored Matrix Object</t>
  </si>
  <si>
    <t xml:space="preserve">Bind Spirit</t>
  </si>
  <si>
    <t xml:space="preserve">Backlash</t>
  </si>
  <si>
    <t xml:space="preserve">Bluffing Dive</t>
  </si>
  <si>
    <t xml:space="preserve">Brandmark Servant</t>
  </si>
  <si>
    <t xml:space="preserve">Broadside</t>
  </si>
  <si>
    <t xml:space="preserve">Create Common Magic Item</t>
  </si>
  <si>
    <t xml:space="preserve">Blood Compass</t>
  </si>
  <si>
    <t xml:space="preserve">Cosmetics</t>
  </si>
  <si>
    <t xml:space="preserve">Calm Herd</t>
  </si>
  <si>
    <t xml:space="preserve">By the Fingernails</t>
  </si>
  <si>
    <t xml:space="preserve">Backbiter</t>
  </si>
  <si>
    <t xml:space="preserve">Create Enhanced Matrix Object</t>
  </si>
  <si>
    <t xml:space="preserve">Collective Beating</t>
  </si>
  <si>
    <t xml:space="preserve">Commanding Gaze</t>
  </si>
  <si>
    <t xml:space="preserve">Body Armor</t>
  </si>
  <si>
    <t xml:space="preserve">Boarding Action</t>
  </si>
  <si>
    <t xml:space="preserve">Bounce </t>
  </si>
  <si>
    <t xml:space="preserve">Claw Riposte</t>
  </si>
  <si>
    <t xml:space="preserve">Cover</t>
  </si>
  <si>
    <t xml:space="preserve">Covet Item</t>
  </si>
  <si>
    <t xml:space="preserve">Cat's Skill</t>
  </si>
  <si>
    <t xml:space="preserve">Catch Arrow</t>
  </si>
  <si>
    <t xml:space="preserve">Create Shared Matrix Object</t>
  </si>
  <si>
    <t xml:space="preserve">Corner of the Eye</t>
  </si>
  <si>
    <t xml:space="preserve">Deathbed</t>
  </si>
  <si>
    <t xml:space="preserve">Create Thread Item</t>
  </si>
  <si>
    <t xml:space="preserve">Deflect Blow</t>
  </si>
  <si>
    <t xml:space="preserve">Claw Tool</t>
  </si>
  <si>
    <t xml:space="preserve">Create Spell Matrix Object</t>
  </si>
  <si>
    <t xml:space="preserve">Fast Grab</t>
  </si>
  <si>
    <t xml:space="preserve">Death Sight</t>
  </si>
  <si>
    <t xml:space="preserve">Clay Blend</t>
  </si>
  <si>
    <t xml:space="preserve">Dive</t>
  </si>
  <si>
    <t xml:space="preserve">Feign Hit</t>
  </si>
  <si>
    <t xml:space="preserve">Creature Remains</t>
  </si>
  <si>
    <t xml:space="preserve">By the Fingernais</t>
  </si>
  <si>
    <t xml:space="preserve">Endure Heat</t>
  </si>
  <si>
    <t xml:space="preserve">Faulty Goods</t>
  </si>
  <si>
    <t xml:space="preserve">Flaming Wounds</t>
  </si>
  <si>
    <t xml:space="preserve">Dragging Parry</t>
  </si>
  <si>
    <t xml:space="preserve">Defuse Mob</t>
  </si>
  <si>
    <t xml:space="preserve">Fake Thought</t>
  </si>
  <si>
    <t xml:space="preserve">Far Speaking</t>
  </si>
  <si>
    <t xml:space="preserve">Disassociate</t>
  </si>
  <si>
    <t xml:space="preserve">Diagnose</t>
  </si>
  <si>
    <t xml:space="preserve">Ghost Master Ritual</t>
  </si>
  <si>
    <t xml:space="preserve">Creature Analysis</t>
  </si>
  <si>
    <t xml:space="preserve">Empathic Connection</t>
  </si>
  <si>
    <t xml:space="preserve">Flying Kick</t>
  </si>
  <si>
    <t xml:space="preserve">Fool Thief</t>
  </si>
  <si>
    <t xml:space="preserve">Head Butt</t>
  </si>
  <si>
    <t xml:space="preserve">Fauty Goods</t>
  </si>
  <si>
    <t xml:space="preserve">Create Orichalcum</t>
  </si>
  <si>
    <t xml:space="preserve">Forge Arrow</t>
  </si>
  <si>
    <t xml:space="preserve">Improvised Missiles</t>
  </si>
  <si>
    <t xml:space="preserve">Diassociate</t>
  </si>
  <si>
    <t xml:space="preserve">Favored Mount</t>
  </si>
  <si>
    <t xml:space="preserve">Feing Hit</t>
  </si>
  <si>
    <t xml:space="preserve">Fragile Blade</t>
  </si>
  <si>
    <t xml:space="preserve">Improvised Weapons</t>
  </si>
  <si>
    <t xml:space="preserve">False Evidence</t>
  </si>
  <si>
    <t xml:space="preserve">Faulty Bowyer</t>
  </si>
  <si>
    <t xml:space="preserve">Gaping Wounds</t>
  </si>
  <si>
    <t xml:space="preserve">Hoard Spells</t>
  </si>
  <si>
    <t xml:space="preserve">Feinting Lunge</t>
  </si>
  <si>
    <t xml:space="preserve">Glide</t>
  </si>
  <si>
    <t xml:space="preserve">Improvised Missles</t>
  </si>
  <si>
    <t xml:space="preserve">Fast Talk</t>
  </si>
  <si>
    <t xml:space="preserve">Hard Glare</t>
  </si>
  <si>
    <t xml:space="preserve">Mighty Throw</t>
  </si>
  <si>
    <t xml:space="preserve">Explosive Flame Arrow</t>
  </si>
  <si>
    <t xml:space="preserve">Feintg Hit</t>
  </si>
  <si>
    <t xml:space="preserve">Hoarded Haunting</t>
  </si>
  <si>
    <t xml:space="preserve">Feinting Retreat</t>
  </si>
  <si>
    <t xml:space="preserve">Halt Disease</t>
  </si>
  <si>
    <t xml:space="preserve">Improvised Shield</t>
  </si>
  <si>
    <t xml:space="preserve">Fraud Mastery</t>
  </si>
  <si>
    <t xml:space="preserve">Pin Up</t>
  </si>
  <si>
    <t xml:space="preserve">Extend Range</t>
  </si>
  <si>
    <t xml:space="preserve">Hold Multiple Threads</t>
  </si>
  <si>
    <t xml:space="preserve">Maim</t>
  </si>
  <si>
    <t xml:space="preserve">Heal Others</t>
  </si>
  <si>
    <t xml:space="preserve">PinDown</t>
  </si>
  <si>
    <t xml:space="preserve">Gory Shot</t>
  </si>
  <si>
    <t xml:space="preserve">Horror Analysis</t>
  </si>
  <si>
    <t xml:space="preserve">Identify Tracks</t>
  </si>
  <si>
    <t xml:space="preserve">Incite Monolgue</t>
  </si>
  <si>
    <t xml:space="preserve">History Skit</t>
  </si>
  <si>
    <t xml:space="preserve">Mystic Mind Armor</t>
  </si>
  <si>
    <t xml:space="preserve">Pin Down</t>
  </si>
  <si>
    <t xml:space="preserve">Placed Throw</t>
  </si>
  <si>
    <t xml:space="preserve">Hiking</t>
  </si>
  <si>
    <t xml:space="preserve">Lasting Deceit</t>
  </si>
  <si>
    <t xml:space="preserve">Listen</t>
  </si>
  <si>
    <t xml:space="preserve">Mastermind's Plan</t>
  </si>
  <si>
    <t xml:space="preserve">Rapier Wit</t>
  </si>
  <si>
    <t xml:space="preserve">Improvise Missiles</t>
  </si>
  <si>
    <t xml:space="preserve">Liar</t>
  </si>
  <si>
    <t xml:space="preserve">Lay of the Land</t>
  </si>
  <si>
    <t xml:space="preserve">Second Riposte</t>
  </si>
  <si>
    <t xml:space="preserve">Fire Arrow</t>
  </si>
  <si>
    <t xml:space="preserve">Lift the Curtain</t>
  </si>
  <si>
    <t xml:space="preserve">Pin Down </t>
  </si>
  <si>
    <t xml:space="preserve">Guard Pockets</t>
  </si>
  <si>
    <t xml:space="preserve">Incite Monologue</t>
  </si>
  <si>
    <t xml:space="preserve">Name Spell</t>
  </si>
  <si>
    <t xml:space="preserve">Shadow Hide</t>
  </si>
  <si>
    <t xml:space="preserve">Mimic Music</t>
  </si>
  <si>
    <t xml:space="preserve">Mold Spirit</t>
  </si>
  <si>
    <t xml:space="preserve">Setup</t>
  </si>
  <si>
    <t xml:space="preserve">Lasting Performance</t>
  </si>
  <si>
    <t xml:space="preserve">Tail Sweep</t>
  </si>
  <si>
    <t xml:space="preserve">Mind Trick</t>
  </si>
  <si>
    <t xml:space="preserve">Nether Sextant</t>
  </si>
  <si>
    <t xml:space="preserve">Placed Shot</t>
  </si>
  <si>
    <t xml:space="preserve">Mind Reading</t>
  </si>
  <si>
    <t xml:space="preserve">Plant Prison</t>
  </si>
  <si>
    <t xml:space="preserve">Locate Horror</t>
  </si>
  <si>
    <t xml:space="preserve">Not so Fast</t>
  </si>
  <si>
    <t xml:space="preserve">Orbiting Watcher</t>
  </si>
  <si>
    <t xml:space="preserve">Traceless Stride</t>
  </si>
  <si>
    <t xml:space="preserve">Weapon Smash</t>
  </si>
  <si>
    <t xml:space="preserve">Share Sense</t>
  </si>
  <si>
    <t xml:space="preserve">Mountain Hoof</t>
  </si>
  <si>
    <t xml:space="preserve">Signature Spell</t>
  </si>
  <si>
    <t xml:space="preserve">Lock Guard</t>
  </si>
  <si>
    <t xml:space="preserve">Wind Shout</t>
  </si>
  <si>
    <t xml:space="preserve">Photographic Memory</t>
  </si>
  <si>
    <t xml:space="preserve">Stalk</t>
  </si>
  <si>
    <t xml:space="preserve">Spell Stacking</t>
  </si>
  <si>
    <t xml:space="preserve">Swinging Move</t>
  </si>
  <si>
    <t xml:space="preserve">Smooth Armor</t>
  </si>
  <si>
    <t xml:space="preserve">Wood Wings</t>
  </si>
  <si>
    <t xml:space="preserve">Tale of Terror</t>
  </si>
  <si>
    <t xml:space="preserve">Swab the Deck</t>
  </si>
  <si>
    <t xml:space="preserve">Poisoned Influence</t>
  </si>
  <si>
    <t xml:space="preserve">Remember Conversation</t>
  </si>
  <si>
    <t xml:space="preserve">Swift Hoof</t>
  </si>
  <si>
    <t xml:space="preserve">Threatening Aura</t>
  </si>
  <si>
    <t xml:space="preserve">Wound Heal</t>
  </si>
  <si>
    <t xml:space="preserve">Request Donation</t>
  </si>
  <si>
    <t xml:space="preserve">Offguard</t>
  </si>
  <si>
    <t xml:space="preserve">Translator</t>
  </si>
  <si>
    <t xml:space="preserve">Scorn</t>
  </si>
  <si>
    <t xml:space="preserve">Telling the Tale</t>
  </si>
  <si>
    <t xml:space="preserve">Wound Share</t>
  </si>
  <si>
    <t xml:space="preserve">Smoot Armor</t>
  </si>
  <si>
    <t xml:space="preserve">Whispered Conversation</t>
  </si>
  <si>
    <t xml:space="preserve">Track Mount</t>
  </si>
  <si>
    <t xml:space="preserve">Traeless Stride</t>
  </si>
  <si>
    <t xml:space="preserve">Water Mount</t>
  </si>
  <si>
    <t xml:space="preserve">Spirit Flame</t>
  </si>
  <si>
    <t xml:space="preserve">Weave Element</t>
  </si>
  <si>
    <t xml:space="preserve">Vertical Jump</t>
  </si>
  <si>
    <t xml:space="preserve">Astral Sight</t>
  </si>
  <si>
    <t xml:space="preserve">Book Memory</t>
  </si>
  <si>
    <t xml:space="preserve">Air Speaking</t>
  </si>
  <si>
    <t xml:space="preserve">Read &amp; Write Language</t>
  </si>
  <si>
    <t xml:space="preserve">Item History</t>
  </si>
  <si>
    <t xml:space="preserve">Air Dance</t>
  </si>
  <si>
    <t xml:space="preserve">Missle Weapons</t>
  </si>
  <si>
    <t xml:space="preserve">Sense Danger</t>
  </si>
  <si>
    <t xml:space="preserve">Disguise Self</t>
  </si>
  <si>
    <t xml:space="preserve">Melle Weapons</t>
  </si>
  <si>
    <t xml:space="preserve">Manuever</t>
  </si>
  <si>
    <t xml:space="preserve">Gliding</t>
  </si>
  <si>
    <t xml:space="preserve">Pick Pocket</t>
  </si>
  <si>
    <t xml:space="preserve">Evidence Analysis</t>
  </si>
  <si>
    <t xml:space="preserve">Sense Daner</t>
  </si>
  <si>
    <t xml:space="preserve">Spell Fetish</t>
  </si>
  <si>
    <t xml:space="preserve">Throwing Weapnos</t>
  </si>
  <si>
    <t xml:space="preserve">Anticipate Blow</t>
  </si>
  <si>
    <t xml:space="preserve">Blood Share</t>
  </si>
  <si>
    <t xml:space="preserve">Book Recall</t>
  </si>
  <si>
    <t xml:space="preserve">Animal Possession</t>
  </si>
  <si>
    <t xml:space="preserve">Abate Curse</t>
  </si>
  <si>
    <t xml:space="preserve">Borrow Sense</t>
  </si>
  <si>
    <t xml:space="preserve">Direction Arrow</t>
  </si>
  <si>
    <t xml:space="preserve">Evaluate</t>
  </si>
  <si>
    <t xml:space="preserve">Dtect Weapon</t>
  </si>
  <si>
    <t xml:space="preserve">Dominate Beast</t>
  </si>
  <si>
    <t xml:space="preserve">Fireblood</t>
  </si>
  <si>
    <t xml:space="preserve">Empathic Sense</t>
  </si>
  <si>
    <t xml:space="preserve">Flame Arrow</t>
  </si>
  <si>
    <t xml:space="preserve">Frighten Animals</t>
  </si>
  <si>
    <t xml:space="preserve">Frighten</t>
  </si>
  <si>
    <t xml:space="preserve">Heart of Freedom</t>
  </si>
  <si>
    <t xml:space="preserve">Forge Weapon</t>
  </si>
  <si>
    <t xml:space="preserve">Mystic Aim</t>
  </si>
  <si>
    <t xml:space="preserve">Long Shot</t>
  </si>
  <si>
    <t xml:space="preserve">wilderness Survival</t>
  </si>
  <si>
    <t xml:space="preserve">Heartneing Laugh</t>
  </si>
  <si>
    <t xml:space="preserve">Lifesight</t>
  </si>
  <si>
    <t xml:space="preserve">Parry </t>
  </si>
  <si>
    <t xml:space="preserve">Tiger Spring</t>
  </si>
  <si>
    <t xml:space="preserve">Wind Catcher</t>
  </si>
  <si>
    <t xml:space="preserve">Haggle </t>
  </si>
  <si>
    <t xml:space="preserve">Winning Smile</t>
  </si>
  <si>
    <t xml:space="preserve">Wind Dance</t>
  </si>
  <si>
    <t xml:space="preserve">Call Missle</t>
  </si>
  <si>
    <t xml:space="preserve">Animal Companion</t>
  </si>
  <si>
    <t xml:space="preserve">Fearsome Charge</t>
  </si>
  <si>
    <t xml:space="preserve">Direction Sense</t>
  </si>
  <si>
    <t xml:space="preserve">Enhanced Matrix</t>
  </si>
  <si>
    <t xml:space="preserve">Cobra Strike</t>
  </si>
  <si>
    <t xml:space="preserve">Cold Purify</t>
  </si>
  <si>
    <t xml:space="preserve">Animal Companion Durability</t>
  </si>
  <si>
    <t xml:space="preserve">Elemental Tongues</t>
  </si>
  <si>
    <t xml:space="preserve">Heal Animal Companion</t>
  </si>
  <si>
    <t xml:space="preserve">Heal Slave</t>
  </si>
  <si>
    <t xml:space="preserve">Enhanced Fetish</t>
  </si>
  <si>
    <t xml:space="preserve">Gliding Stride</t>
  </si>
  <si>
    <t xml:space="preserve">Leadership</t>
  </si>
  <si>
    <t xml:space="preserve">Enduring Art</t>
  </si>
  <si>
    <t xml:space="preserve">Lion Heart</t>
  </si>
  <si>
    <t xml:space="preserve">Call Animal Companion</t>
  </si>
  <si>
    <t xml:space="preserve">Fire Heal</t>
  </si>
  <si>
    <t xml:space="preserve">Evidence Anaylsis</t>
  </si>
  <si>
    <t xml:space="preserve">Empathic Command</t>
  </si>
  <si>
    <t xml:space="preserve">Spot Armor Flaw</t>
  </si>
  <si>
    <t xml:space="preserve">Steely Stare</t>
  </si>
  <si>
    <t xml:space="preserve">Endure Cold</t>
  </si>
  <si>
    <t xml:space="preserve">Life Check</t>
  </si>
  <si>
    <t xml:space="preserve">Inspire Others</t>
  </si>
  <si>
    <t xml:space="preserve">Steel Thought</t>
  </si>
  <si>
    <t xml:space="preserve">Temper Self</t>
  </si>
  <si>
    <t xml:space="preserve">Read &amp; Write Magic</t>
  </si>
  <si>
    <t xml:space="preserve">Poison Resistance</t>
  </si>
  <si>
    <t xml:space="preserve">Mount Durability</t>
  </si>
  <si>
    <t xml:space="preserve">True Sight</t>
  </si>
  <si>
    <t xml:space="preserve">Spirit Talk</t>
  </si>
  <si>
    <t xml:space="preserve">Orbiting Spy</t>
  </si>
  <si>
    <t xml:space="preserve">Stopping Aim</t>
  </si>
  <si>
    <t xml:space="preserve">Spirit Mount</t>
  </si>
  <si>
    <t xml:space="preserve">Temper Other</t>
  </si>
  <si>
    <t xml:space="preserve">Bestial Toughness</t>
  </si>
  <si>
    <t xml:space="preserve">Critical Hit</t>
  </si>
  <si>
    <t xml:space="preserve">Call Mount</t>
  </si>
  <si>
    <t xml:space="preserve">Bank Shot</t>
  </si>
  <si>
    <t xml:space="preserve">Eagle Eye</t>
  </si>
  <si>
    <t xml:space="preserve">Armored Matrix</t>
  </si>
  <si>
    <t xml:space="preserve">Champion Challenge</t>
  </si>
  <si>
    <t xml:space="preserve">Animate Object</t>
  </si>
  <si>
    <t xml:space="preserve">Armored Fetish</t>
  </si>
  <si>
    <t xml:space="preserve">Detect Falsehood</t>
  </si>
  <si>
    <t xml:space="preserve">Incite Mob</t>
  </si>
  <si>
    <t xml:space="preserve">Escape Divination</t>
  </si>
  <si>
    <t xml:space="preserve">Crushing Blow</t>
  </si>
  <si>
    <t xml:space="preserve">Frenzy</t>
  </si>
  <si>
    <t xml:space="preserve">Body Blade</t>
  </si>
  <si>
    <t xml:space="preserve">Incite Stampede</t>
  </si>
  <si>
    <t xml:space="preserve">Bargain with Summoned Creature</t>
  </si>
  <si>
    <t xml:space="preserve">Impressive Strike</t>
  </si>
  <si>
    <t xml:space="preserve">Lion Spirit</t>
  </si>
  <si>
    <t xml:space="preserve">Mind Blade</t>
  </si>
  <si>
    <t xml:space="preserve">Mind Wave</t>
  </si>
  <si>
    <t xml:space="preserve">Bestial Resilience</t>
  </si>
  <si>
    <t xml:space="preserve">Rushing Attack</t>
  </si>
  <si>
    <t xml:space="preserve">Howl</t>
  </si>
  <si>
    <t xml:space="preserve">Quick Shot</t>
  </si>
  <si>
    <t xml:space="preserve">Astral Pocket</t>
  </si>
  <si>
    <t xml:space="preserve">Matrix Strike</t>
  </si>
  <si>
    <t xml:space="preserve">Forge Armor</t>
  </si>
  <si>
    <t xml:space="preserve">Sense Magic Item</t>
  </si>
  <si>
    <t xml:space="preserve">Rally</t>
  </si>
  <si>
    <t xml:space="preserve">Resist Pain</t>
  </si>
  <si>
    <t xml:space="preserve">Sense Poison</t>
  </si>
  <si>
    <t xml:space="preserve">Plant Shelter</t>
  </si>
  <si>
    <t xml:space="preserve">Hold Thread</t>
  </si>
  <si>
    <t xml:space="preserve">Missle Twister</t>
  </si>
  <si>
    <t xml:space="preserve">Metal Ward</t>
  </si>
  <si>
    <t xml:space="preserve">Shield Beater</t>
  </si>
  <si>
    <t xml:space="preserve">Multi-Tongue</t>
  </si>
  <si>
    <t xml:space="preserve">Show Armor Flaw</t>
  </si>
  <si>
    <t xml:space="preserve">Safe Thought</t>
  </si>
  <si>
    <t xml:space="preserve">Dive Attack</t>
  </si>
  <si>
    <t xml:space="preserve">Safe Path</t>
  </si>
  <si>
    <t xml:space="preserve">Spel Matrix</t>
  </si>
  <si>
    <t xml:space="preserve">Song of Deflection</t>
  </si>
  <si>
    <t xml:space="preserve">Spirit Strike</t>
  </si>
  <si>
    <t xml:space="preserve">Power Mask</t>
  </si>
  <si>
    <t xml:space="preserve">Trace Missle</t>
  </si>
  <si>
    <t xml:space="preserve">Shackle Shrug</t>
  </si>
  <si>
    <t xml:space="preserve">Memorize Image</t>
  </si>
  <si>
    <t xml:space="preserve">Vitality</t>
  </si>
  <si>
    <t xml:space="preserve">Poison Reistance</t>
  </si>
  <si>
    <t xml:space="preserve">Thought Link</t>
  </si>
  <si>
    <t xml:space="preserve">Warp Missle</t>
  </si>
  <si>
    <t xml:space="preserve">Tame Mount</t>
  </si>
  <si>
    <t xml:space="preserve">Whirlwind</t>
  </si>
  <si>
    <t xml:space="preserve">Trample</t>
  </si>
  <si>
    <t xml:space="preserve">Swing Attack</t>
  </si>
  <si>
    <t xml:space="preserve">Spirit Dodge</t>
  </si>
  <si>
    <t xml:space="preserve">Weapon Breaker</t>
  </si>
  <si>
    <t xml:space="preserve">Warning Shot</t>
  </si>
  <si>
    <t xml:space="preserve">Temperature</t>
  </si>
  <si>
    <t xml:space="preserve">Aura Armor</t>
  </si>
  <si>
    <t xml:space="preserve">Chameleon</t>
  </si>
  <si>
    <t xml:space="preserve">First Ring of Perfection</t>
  </si>
  <si>
    <t xml:space="preserve">Ethereal Weapon</t>
  </si>
  <si>
    <t xml:space="preserve">Casting Pattern</t>
  </si>
  <si>
    <t xml:space="preserve">Blood Guilt Weapon</t>
  </si>
  <si>
    <t xml:space="preserve">Earth Armor</t>
  </si>
  <si>
    <t xml:space="preserve">Bestial Resistance</t>
  </si>
  <si>
    <t xml:space="preserve">Infuse Blade</t>
  </si>
  <si>
    <t xml:space="preserve">Elemental Walk</t>
  </si>
  <si>
    <t xml:space="preserve">Echo Location</t>
  </si>
  <si>
    <t xml:space="preserve">Gold Sense</t>
  </si>
  <si>
    <t xml:space="preserve">Second Chance</t>
  </si>
  <si>
    <t xml:space="preserve">Detect Influence</t>
  </si>
  <si>
    <t xml:space="preserve">Gain Surprise</t>
  </si>
  <si>
    <t xml:space="preserve">Develop Animal Sense</t>
  </si>
  <si>
    <t xml:space="preserve">Shared Matrix</t>
  </si>
  <si>
    <t xml:space="preserve">Multi-Strike</t>
  </si>
  <si>
    <t xml:space="preserve">Impossible Hide</t>
  </si>
  <si>
    <t xml:space="preserve">Ethereal Weapon </t>
  </si>
  <si>
    <t xml:space="preserve">Moving Earth</t>
  </si>
  <si>
    <t xml:space="preserve">Mind Armor</t>
  </si>
  <si>
    <t xml:space="preserve">Netherwalk</t>
  </si>
  <si>
    <t xml:space="preserve">Infuse Armor</t>
  </si>
  <si>
    <t xml:space="preserve">Soften Blade</t>
  </si>
  <si>
    <t xml:space="preserve">Vital Strike</t>
  </si>
  <si>
    <t xml:space="preserve">Stone Skin</t>
  </si>
  <si>
    <t xml:space="preserve">Shared Fetish</t>
  </si>
  <si>
    <t xml:space="preserve">Infuse Weapon</t>
  </si>
  <si>
    <t xml:space="preserve">Screaming Arrow</t>
  </si>
  <si>
    <t xml:space="preserve">Water Dancing</t>
  </si>
  <si>
    <t xml:space="preserve">Wound Transfer</t>
  </si>
  <si>
    <t xml:space="preserve">Truth Skit</t>
  </si>
  <si>
    <t xml:space="preserve">Cost None Discipline</t>
  </si>
  <si>
    <t xml:space="preserve">Cost Discipline</t>
  </si>
  <si>
    <t xml:space="preserve">Attribute</t>
  </si>
  <si>
    <t xml:space="preserve">/Action/Strain</t>
  </si>
  <si>
    <t xml:space="preserve">Skill Name</t>
  </si>
  <si>
    <t xml:space="preserve">Skill Attribute</t>
  </si>
  <si>
    <t xml:space="preserve">/A/1</t>
  </si>
  <si>
    <t xml:space="preserve">/S/1</t>
  </si>
  <si>
    <t xml:space="preserve">/F/1</t>
  </si>
  <si>
    <t xml:space="preserve">/*/-</t>
  </si>
  <si>
    <t xml:space="preserve">/A/-</t>
  </si>
  <si>
    <t xml:space="preserve">1 wnd</t>
  </si>
  <si>
    <t xml:space="preserve">/N/-</t>
  </si>
  <si>
    <t xml:space="preserve">Animal Leadership</t>
  </si>
  <si>
    <t xml:space="preserve">/A/2</t>
  </si>
  <si>
    <t xml:space="preserve">Animal Talk</t>
  </si>
  <si>
    <t xml:space="preserve">Impressive Shot</t>
  </si>
  <si>
    <t xml:space="preserve">Applied Sciences</t>
  </si>
  <si>
    <t xml:space="preserve">1+*</t>
  </si>
  <si>
    <t xml:space="preserve">Armor Mount</t>
  </si>
  <si>
    <t xml:space="preserve">/-/-</t>
  </si>
  <si>
    <t xml:space="preserve">Thread Weaving*</t>
  </si>
  <si>
    <t xml:space="preserve">Avocation</t>
  </si>
  <si>
    <t xml:space="preserve">Buzz</t>
  </si>
  <si>
    <t xml:space="preserve">/A/*</t>
  </si>
  <si>
    <t xml:space="preserve">Tail Dance</t>
  </si>
  <si>
    <t xml:space="preserve">Astral Web</t>
  </si>
  <si>
    <t xml:space="preserve">/A/3</t>
  </si>
  <si>
    <t xml:space="preserve">Beauty of Bloodshed</t>
  </si>
  <si>
    <t xml:space="preserve">Thread Weaving (Songsmith)</t>
  </si>
  <si>
    <t xml:space="preserve">Summon</t>
  </si>
  <si>
    <t xml:space="preserve">Bane Strike</t>
  </si>
  <si>
    <t xml:space="preserve">/F/2</t>
  </si>
  <si>
    <t xml:space="preserve">Bone Compass</t>
  </si>
  <si>
    <t xml:space="preserve">Bluff Attack</t>
  </si>
  <si>
    <t xml:space="preserve">Bardic Voice</t>
  </si>
  <si>
    <t xml:space="preserve">Body Control</t>
  </si>
  <si>
    <t xml:space="preserve">1*</t>
  </si>
  <si>
    <t xml:space="preserve">Bear Mark</t>
  </si>
  <si>
    <t xml:space="preserve">Bedazzle</t>
  </si>
  <si>
    <t xml:space="preserve">Break Lock</t>
  </si>
  <si>
    <t xml:space="preserve">/S/-</t>
  </si>
  <si>
    <t xml:space="preserve">Bird Song</t>
  </si>
  <si>
    <t xml:space="preserve">Blind Fire</t>
  </si>
  <si>
    <t xml:space="preserve">Claw Shape</t>
  </si>
  <si>
    <t xml:space="preserve">2/min</t>
  </si>
  <si>
    <t xml:space="preserve">Clay Skin</t>
  </si>
  <si>
    <t xml:space="preserve">Hoard Blows</t>
  </si>
  <si>
    <t xml:space="preserve">/F/-</t>
  </si>
  <si>
    <t xml:space="preserve">Call of Harrow</t>
  </si>
  <si>
    <t xml:space="preserve">Cast Net</t>
  </si>
  <si>
    <t xml:space="preserve">1/min</t>
  </si>
  <si>
    <t xml:space="preserve">Confront Horror</t>
  </si>
  <si>
    <t xml:space="preserve">/A/5</t>
  </si>
  <si>
    <t xml:space="preserve">Enhance Item</t>
  </si>
  <si>
    <t xml:space="preserve">Epic</t>
  </si>
  <si>
    <t xml:space="preserve">Create Fetish</t>
  </si>
  <si>
    <t xml:space="preserve">Warp Missile</t>
  </si>
  <si>
    <t xml:space="preserve">Dominate Arrow</t>
  </si>
  <si>
    <t xml:space="preserve">Double-Charge</t>
  </si>
  <si>
    <t xml:space="preserve">Earth Bond</t>
  </si>
  <si>
    <t xml:space="preserve">Effect Pattern</t>
  </si>
  <si>
    <t xml:space="preserve">Here's the Deal</t>
  </si>
  <si>
    <t xml:space="preserve">Elemental Hold</t>
  </si>
  <si>
    <t xml:space="preserve">Woodwalk</t>
  </si>
  <si>
    <t xml:space="preserve">2+*</t>
  </si>
  <si>
    <t xml:space="preserve">Hold Position</t>
  </si>
  <si>
    <t xml:space="preserve">Engaging Dance</t>
  </si>
  <si>
    <t xml:space="preserve">Improvise Shield</t>
  </si>
  <si>
    <t xml:space="preserve">/*/1</t>
  </si>
  <si>
    <t xml:space="preserve">False Sight</t>
  </si>
  <si>
    <t xml:space="preserve">Lasting Memory</t>
  </si>
  <si>
    <t xml:space="preserve">False Shackles</t>
  </si>
  <si>
    <t xml:space="preserve">Lightning Throw</t>
  </si>
  <si>
    <t xml:space="preserve">Familiar Durability</t>
  </si>
  <si>
    <t xml:space="preserve">/S/2</t>
  </si>
  <si>
    <t xml:space="preserve">Thread Weaving (Thief) </t>
  </si>
  <si>
    <t xml:space="preserve">Maintain Spell Threads (E/N)</t>
  </si>
  <si>
    <t xml:space="preserve">Matched Weapons</t>
  </si>
  <si>
    <t xml:space="preserve">/*/0</t>
  </si>
  <si>
    <t xml:space="preserve">/*/2</t>
  </si>
  <si>
    <t xml:space="preserve">Forge Blade</t>
  </si>
  <si>
    <t xml:space="preserve">Free Mind</t>
  </si>
  <si>
    <t xml:space="preserve">Freedom Search</t>
  </si>
  <si>
    <t xml:space="preserve">2/rnd*</t>
  </si>
  <si>
    <t xml:space="preserve">Name Spell </t>
  </si>
  <si>
    <t xml:space="preserve">2/attk</t>
  </si>
  <si>
    <t xml:space="preserve">4*</t>
  </si>
  <si>
    <t xml:space="preserve">Plant Tongues</t>
  </si>
  <si>
    <t xml:space="preserve">Elemental Tonges</t>
  </si>
  <si>
    <t xml:space="preserve">Redirect</t>
  </si>
  <si>
    <t xml:space="preserve">Safe Footing</t>
  </si>
  <si>
    <t xml:space="preserve">Secret Language (Me)</t>
  </si>
  <si>
    <t xml:space="preserve">P </t>
  </si>
  <si>
    <t xml:space="preserve">Sleight of Hand</t>
  </si>
  <si>
    <t xml:space="preserve">Snagging Tail</t>
  </si>
  <si>
    <t xml:space="preserve">Songs of Inspiration (Tr)</t>
  </si>
  <si>
    <t xml:space="preserve">2+</t>
  </si>
  <si>
    <t xml:space="preserve">Spirit Shield</t>
  </si>
  <si>
    <t xml:space="preserve">Stalking</t>
  </si>
  <si>
    <t xml:space="preserve">Subliminal Mutterings</t>
  </si>
  <si>
    <t xml:space="preserve">0+*</t>
  </si>
  <si>
    <t xml:space="preserve">/A/0</t>
  </si>
  <si>
    <t xml:space="preserve">Missile Path</t>
  </si>
  <si>
    <t xml:space="preserve">/-/1</t>
  </si>
  <si>
    <t xml:space="preserve">Treetrap</t>
  </si>
  <si>
    <t xml:space="preserve">Missile Twister</t>
  </si>
  <si>
    <t xml:space="preserve">Unarmed Cast Net</t>
  </si>
  <si>
    <t xml:space="preserve">1/rnd</t>
  </si>
  <si>
    <t xml:space="preserve">Weapon Scream</t>
  </si>
  <si>
    <t xml:space="preserve">Multi-Charge</t>
  </si>
  <si>
    <t xml:space="preserve">Thread Weaving</t>
  </si>
  <si>
    <t xml:space="preserve">Multi-Shot</t>
  </si>
  <si>
    <t xml:space="preserve">Multi-Weaving</t>
  </si>
  <si>
    <t xml:space="preserve">Wound Check</t>
  </si>
  <si>
    <t xml:space="preserve">Prison Call</t>
  </si>
  <si>
    <t xml:space="preserve">Questor</t>
  </si>
  <si>
    <t xml:space="preserve">Range Pattern</t>
  </si>
  <si>
    <t xml:space="preserve">Reshape Object</t>
  </si>
  <si>
    <t xml:space="preserve">Scent Identifier</t>
  </si>
  <si>
    <t xml:space="preserve">Shout of Justice</t>
  </si>
  <si>
    <t xml:space="preserve">Soul Shatter</t>
  </si>
  <si>
    <t xml:space="preserve">Spell Crystal Lock</t>
  </si>
  <si>
    <t xml:space="preserve">Spirit Hold</t>
  </si>
  <si>
    <t xml:space="preserve">Storm Shield</t>
  </si>
  <si>
    <t xml:space="preserve">Summoning Circle</t>
  </si>
  <si>
    <t xml:space="preserve">Suppress Influence</t>
  </si>
  <si>
    <t xml:space="preserve">Thoughtful Expression</t>
  </si>
  <si>
    <t xml:space="preserve">Thread Weaving (Air Sailor)</t>
  </si>
  <si>
    <t xml:space="preserve">Thread Weaving (Archer)</t>
  </si>
  <si>
    <t xml:space="preserve">Thread Weaving (Beastmaster) </t>
  </si>
  <si>
    <t xml:space="preserve">Thread Weaving (Boatman)</t>
  </si>
  <si>
    <t xml:space="preserve">Thread Weaving (Cavalryman)</t>
  </si>
  <si>
    <t xml:space="preserve">Thread Weaving (Elementalist)</t>
  </si>
  <si>
    <t xml:space="preserve">Thread Weaving (Horror Stalker)</t>
  </si>
  <si>
    <t xml:space="preserve">Thread Weaving (Illusionist)</t>
  </si>
  <si>
    <t xml:space="preserve">Thread Weaving (Liberator)</t>
  </si>
  <si>
    <t xml:space="preserve">Thread Weaving (Messenger)</t>
  </si>
  <si>
    <t xml:space="preserve">Thread Weaving (Nethermancer)</t>
  </si>
  <si>
    <t xml:space="preserve">Thread Weaving (Purifier)</t>
  </si>
  <si>
    <t xml:space="preserve">Thread Weaving (Scout) </t>
  </si>
  <si>
    <t xml:space="preserve">Thread Weaving (Sky Raider)</t>
  </si>
  <si>
    <t xml:space="preserve">Thread Weaving (Swordmaster)</t>
  </si>
  <si>
    <t xml:space="preserve">Thread Weaving (Taildancer) </t>
  </si>
  <si>
    <t xml:space="preserve">Thread Weaving (Traveled Scholar)</t>
  </si>
  <si>
    <t xml:space="preserve">Thread Weaving (Troubadour) </t>
  </si>
  <si>
    <t xml:space="preserve">Thread Weaving (Warrior) </t>
  </si>
  <si>
    <t xml:space="preserve">Thread Weaving (Weaponsmith)</t>
  </si>
  <si>
    <t xml:space="preserve">Thread Weaving (Wind-Dancer)</t>
  </si>
  <si>
    <t xml:space="preserve">Thread Weaving (Windmaster) </t>
  </si>
  <si>
    <t xml:space="preserve">Thread Weaving (Windscout)</t>
  </si>
  <si>
    <t xml:space="preserve">Thread Weaving (Wizard)</t>
  </si>
  <si>
    <t xml:space="preserve">Thread Weaving (Woodsman)</t>
  </si>
  <si>
    <t xml:space="preserve">Thunder Axe</t>
  </si>
  <si>
    <t xml:space="preserve">Trace Missile</t>
  </si>
  <si>
    <t xml:space="preserve">True Shot</t>
  </si>
  <si>
    <t xml:space="preserve">Unmount</t>
  </si>
  <si>
    <t xml:space="preserve">Venom</t>
  </si>
  <si>
    <t xml:space="preserve">Weapon Ward</t>
  </si>
  <si>
    <t xml:space="preserve">Wind Bow</t>
  </si>
  <si>
    <t xml:space="preserve">Woodspeak</t>
  </si>
  <si>
    <t xml:space="preserve">Spell</t>
  </si>
  <si>
    <t xml:space="preserve">Air Armor</t>
  </si>
  <si>
    <t xml:space="preserve">NA/10</t>
  </si>
  <si>
    <t xml:space="preserve">TSD</t>
  </si>
  <si>
    <t xml:space="preserve">Touch</t>
  </si>
  <si>
    <t xml:space="preserve">+3 Phys Armor, +3 Fatigue Test vs heat</t>
  </si>
  <si>
    <t xml:space="preserve">R+5 min</t>
  </si>
  <si>
    <t xml:space="preserve">PG 146</t>
  </si>
  <si>
    <t xml:space="preserve">Assuring Touch</t>
  </si>
  <si>
    <t xml:space="preserve">NA/7</t>
  </si>
  <si>
    <t xml:space="preserve">+3 to Spell and Social Defense; +3 Willpower vs Fear</t>
  </si>
  <si>
    <t xml:space="preserve">R+12 rnds</t>
  </si>
  <si>
    <t xml:space="preserve">PG 148</t>
  </si>
  <si>
    <t xml:space="preserve">Astral Spear</t>
  </si>
  <si>
    <t xml:space="preserve">6/12</t>
  </si>
  <si>
    <t xml:space="preserve">48 yds</t>
  </si>
  <si>
    <t xml:space="preserve">W+6</t>
  </si>
  <si>
    <t xml:space="preserve">1 round</t>
  </si>
  <si>
    <t xml:space="preserve">PG 150</t>
  </si>
  <si>
    <t xml:space="preserve">Astral Sense</t>
  </si>
  <si>
    <t xml:space="preserve">5/15</t>
  </si>
  <si>
    <t xml:space="preserve">30 yds</t>
  </si>
  <si>
    <t xml:space="preserve">R+10 min</t>
  </si>
  <si>
    <t xml:space="preserve">Crunch Climb</t>
  </si>
  <si>
    <t xml:space="preserve">6/14</t>
  </si>
  <si>
    <t xml:space="preserve">+3 bonus to Climbing Tests</t>
  </si>
  <si>
    <t xml:space="preserve">PG 160</t>
  </si>
  <si>
    <t xml:space="preserve">Bellow of the Thundras</t>
  </si>
  <si>
    <t xml:space="preserve">NA/15</t>
  </si>
  <si>
    <t xml:space="preserve">60 yds</t>
  </si>
  <si>
    <t xml:space="preserve">Allows target's voice to be heard up to spell's range</t>
  </si>
  <si>
    <t xml:space="preserve">PG 152</t>
  </si>
  <si>
    <t xml:space="preserve">Bone Dance</t>
  </si>
  <si>
    <t xml:space="preserve">7/15</t>
  </si>
  <si>
    <t xml:space="preserve">10 yds</t>
  </si>
  <si>
    <t xml:space="preserve">W+4</t>
  </si>
  <si>
    <t xml:space="preserve">R+3 rnds</t>
  </si>
  <si>
    <t xml:space="preserve">PG 155</t>
  </si>
  <si>
    <t xml:space="preserve">Bedazzling Display of Logical Analysis</t>
  </si>
  <si>
    <t xml:space="preserve">TSD*</t>
  </si>
  <si>
    <t xml:space="preserve">Self</t>
  </si>
  <si>
    <t xml:space="preserve">+6 bonus to Charisma-based Tests</t>
  </si>
  <si>
    <t xml:space="preserve">R min</t>
  </si>
  <si>
    <t xml:space="preserve">Earth Blend</t>
  </si>
  <si>
    <t xml:space="preserve">W+7</t>
  </si>
  <si>
    <t xml:space="preserve">PG 165</t>
  </si>
  <si>
    <t xml:space="preserve">Best Face</t>
  </si>
  <si>
    <t xml:space="preserve">5/14</t>
  </si>
  <si>
    <t xml:space="preserve">+5 bonus to target's Charisma-based Tests</t>
  </si>
  <si>
    <t xml:space="preserve">R+8 min</t>
  </si>
  <si>
    <t xml:space="preserve">Chilling Circle</t>
  </si>
  <si>
    <t xml:space="preserve">6/15</t>
  </si>
  <si>
    <t xml:space="preserve">Step 4 cold damage to targets in circle</t>
  </si>
  <si>
    <t xml:space="preserve">R+6 min</t>
  </si>
  <si>
    <t xml:space="preserve">PG 157</t>
  </si>
  <si>
    <t xml:space="preserve">Crushing Will</t>
  </si>
  <si>
    <t xml:space="preserve">8/16</t>
  </si>
  <si>
    <t xml:space="preserve">W+5</t>
  </si>
  <si>
    <t xml:space="preserve">PG 161</t>
  </si>
  <si>
    <t xml:space="preserve">Earth Darts</t>
  </si>
  <si>
    <t xml:space="preserve">5/12</t>
  </si>
  <si>
    <t xml:space="preserve">12 yds</t>
  </si>
  <si>
    <t xml:space="preserve">1 rnd</t>
  </si>
  <si>
    <t xml:space="preserve">Blazing Fists of Rage</t>
  </si>
  <si>
    <t xml:space="preserve">NA/16</t>
  </si>
  <si>
    <t xml:space="preserve">R+4 rnds</t>
  </si>
  <si>
    <t xml:space="preserve">PG 153</t>
  </si>
  <si>
    <t xml:space="preserve">Command Nightflyer</t>
  </si>
  <si>
    <t xml:space="preserve">5/13</t>
  </si>
  <si>
    <t xml:space="preserve">W+2</t>
  </si>
  <si>
    <t xml:space="preserve">R+3 min</t>
  </si>
  <si>
    <t xml:space="preserve">PG 159</t>
  </si>
  <si>
    <t xml:space="preserve">Dispel Magic</t>
  </si>
  <si>
    <t xml:space="preserve">6/13</t>
  </si>
  <si>
    <t xml:space="preserve">PG 163</t>
  </si>
  <si>
    <t xml:space="preserve">Catseyes</t>
  </si>
  <si>
    <t xml:space="preserve">5/10</t>
  </si>
  <si>
    <t xml:space="preserve">Grants Low-Light Vision to target</t>
  </si>
  <si>
    <t xml:space="preserve">Flameweapon</t>
  </si>
  <si>
    <t xml:space="preserve">4 yds</t>
  </si>
  <si>
    <t xml:space="preserve">Weapon adds D6 Bonus Die to damage/Physical</t>
  </si>
  <si>
    <t xml:space="preserve">R+10 rnds</t>
  </si>
  <si>
    <t xml:space="preserve">PG 171</t>
  </si>
  <si>
    <t xml:space="preserve">Detect Undead</t>
  </si>
  <si>
    <t xml:space="preserve">W+5 (30 yd radius)</t>
  </si>
  <si>
    <t xml:space="preserve">PG 162</t>
  </si>
  <si>
    <t xml:space="preserve">Divine Aura</t>
  </si>
  <si>
    <t xml:space="preserve">24 yds</t>
  </si>
  <si>
    <t xml:space="preserve">PG 164</t>
  </si>
  <si>
    <t xml:space="preserve">Heat Food</t>
  </si>
  <si>
    <t xml:space="preserve">5/7</t>
  </si>
  <si>
    <t xml:space="preserve">Heats and rejuvenates food</t>
  </si>
  <si>
    <t xml:space="preserve">PG 175</t>
  </si>
  <si>
    <t xml:space="preserve">Disguise Metal</t>
  </si>
  <si>
    <t xml:space="preserve">7/14</t>
  </si>
  <si>
    <t xml:space="preserve">R+7 min</t>
  </si>
  <si>
    <t xml:space="preserve">Dry and Wet</t>
  </si>
  <si>
    <t xml:space="preserve">7/8</t>
  </si>
  <si>
    <t xml:space="preserve">14 yds</t>
  </si>
  <si>
    <t xml:space="preserve">Flame Flash</t>
  </si>
  <si>
    <t xml:space="preserve">PG 170</t>
  </si>
  <si>
    <t xml:space="preserve">Moonglow</t>
  </si>
  <si>
    <t xml:space="preserve">Creates sphere of light (10 yds radius)</t>
  </si>
  <si>
    <t xml:space="preserve">PG 185</t>
  </si>
  <si>
    <t xml:space="preserve">Displace Image</t>
  </si>
  <si>
    <t xml:space="preserve">Projects image of target 3 yards away</t>
  </si>
  <si>
    <t xml:space="preserve">R+7 rnds</t>
  </si>
  <si>
    <t xml:space="preserve">Experience Death</t>
  </si>
  <si>
    <t xml:space="preserve">20 yds</t>
  </si>
  <si>
    <t xml:space="preserve">PG 168</t>
  </si>
  <si>
    <t xml:space="preserve">Ignite</t>
  </si>
  <si>
    <t xml:space="preserve">NA/11</t>
  </si>
  <si>
    <t xml:space="preserve">2 yds</t>
  </si>
  <si>
    <t xml:space="preserve">Ignite Flammable Objects</t>
  </si>
  <si>
    <t xml:space="preserve">1 round*</t>
  </si>
  <si>
    <t xml:space="preserve">PG 177</t>
  </si>
  <si>
    <t xml:space="preserve">Plant Talk</t>
  </si>
  <si>
    <t xml:space="preserve">Allows conversation with plant spirits</t>
  </si>
  <si>
    <t xml:space="preserve">PG 189</t>
  </si>
  <si>
    <t xml:space="preserve">Fun With Doors</t>
  </si>
  <si>
    <t xml:space="preserve">Creates/alters door illusions</t>
  </si>
  <si>
    <t xml:space="preserve">R+1 min</t>
  </si>
  <si>
    <t xml:space="preserve">PG 173</t>
  </si>
  <si>
    <t xml:space="preserve">Insect Repellent</t>
  </si>
  <si>
    <t xml:space="preserve">6/7</t>
  </si>
  <si>
    <t xml:space="preserve">PG 178</t>
  </si>
  <si>
    <t xml:space="preserve">Iron Hand</t>
  </si>
  <si>
    <t xml:space="preserve">+3 bonus to melee weapon Damage Tests</t>
  </si>
  <si>
    <t xml:space="preserve">PG 179</t>
  </si>
  <si>
    <t xml:space="preserve">Purify Earth</t>
  </si>
  <si>
    <t xml:space="preserve">6+*</t>
  </si>
  <si>
    <t xml:space="preserve">Purifies earth and soil</t>
  </si>
  <si>
    <t xml:space="preserve">PG 190</t>
  </si>
  <si>
    <t xml:space="preserve">Light</t>
  </si>
  <si>
    <t xml:space="preserve">6 or TSD*</t>
  </si>
  <si>
    <t xml:space="preserve">Summons a sphere of light</t>
  </si>
  <si>
    <t xml:space="preserve">PG 181</t>
  </si>
  <si>
    <t xml:space="preserve">Mount Scare</t>
  </si>
  <si>
    <t xml:space="preserve">Spooks target mount</t>
  </si>
  <si>
    <t xml:space="preserve">R+5 rnds</t>
  </si>
  <si>
    <t xml:space="preserve">Mind Dagger</t>
  </si>
  <si>
    <t xml:space="preserve">16 yds</t>
  </si>
  <si>
    <t xml:space="preserve">Purify Water</t>
  </si>
  <si>
    <t xml:space="preserve">W+8</t>
  </si>
  <si>
    <t xml:space="preserve">Pauper's Purse</t>
  </si>
  <si>
    <t xml:space="preserve">PG 188</t>
  </si>
  <si>
    <t xml:space="preserve">Putrefy</t>
  </si>
  <si>
    <t xml:space="preserve">NA/9</t>
  </si>
  <si>
    <t xml:space="preserve">Putrifies Food</t>
  </si>
  <si>
    <t xml:space="preserve">PG 191</t>
  </si>
  <si>
    <t xml:space="preserve">Silent Converse</t>
  </si>
  <si>
    <t xml:space="preserve">100 yds</t>
  </si>
  <si>
    <t xml:space="preserve">Allows whispered conversation</t>
  </si>
  <si>
    <t xml:space="preserve">PG 197</t>
  </si>
  <si>
    <t xml:space="preserve">Resist Cold</t>
  </si>
  <si>
    <t xml:space="preserve">+3 to Physical and Mystic armor against cold</t>
  </si>
  <si>
    <t xml:space="preserve">PG 192</t>
  </si>
  <si>
    <t xml:space="preserve">Rope Guide</t>
  </si>
  <si>
    <t xml:space="preserve">PG 193</t>
  </si>
  <si>
    <t xml:space="preserve">Spirit Dart</t>
  </si>
  <si>
    <t xml:space="preserve">PG 199</t>
  </si>
  <si>
    <t xml:space="preserve">Triangulate</t>
  </si>
  <si>
    <t xml:space="preserve">500 yds</t>
  </si>
  <si>
    <t xml:space="preserve">Determines distance to target</t>
  </si>
  <si>
    <t xml:space="preserve">PG 205</t>
  </si>
  <si>
    <t xml:space="preserve">Resist Fire</t>
  </si>
  <si>
    <t xml:space="preserve">+3 to Physical and Mystic armor against fire</t>
  </si>
  <si>
    <t xml:space="preserve">True Blazing Fists of Rage</t>
  </si>
  <si>
    <t xml:space="preserve">Spirit Grip</t>
  </si>
  <si>
    <t xml:space="preserve">Wall Walker</t>
  </si>
  <si>
    <t xml:space="preserve">PG 208</t>
  </si>
  <si>
    <t xml:space="preserve">Air Mattress</t>
  </si>
  <si>
    <t xml:space="preserve">7/17</t>
  </si>
  <si>
    <t xml:space="preserve">+2 Recovery Tests</t>
  </si>
  <si>
    <t xml:space="preserve">10 hrs</t>
  </si>
  <si>
    <t xml:space="preserve">Unseen Voices</t>
  </si>
  <si>
    <t xml:space="preserve">40 yds</t>
  </si>
  <si>
    <t xml:space="preserve">Creates a number of unseen illusory voices</t>
  </si>
  <si>
    <t xml:space="preserve">R+15 rnds</t>
  </si>
  <si>
    <t xml:space="preserve">PG 206</t>
  </si>
  <si>
    <t xml:space="preserve">Undead Struggle</t>
  </si>
  <si>
    <t xml:space="preserve">And His Money</t>
  </si>
  <si>
    <t xml:space="preserve">7/16</t>
  </si>
  <si>
    <t xml:space="preserve">-4 to target's Social Defense*</t>
  </si>
  <si>
    <t xml:space="preserve">PG 147</t>
  </si>
  <si>
    <t xml:space="preserve">Quicken Pace</t>
  </si>
  <si>
    <t xml:space="preserve">10/13</t>
  </si>
  <si>
    <t xml:space="preserve">R+4 hrs</t>
  </si>
  <si>
    <t xml:space="preserve">Billowing Cloak</t>
  </si>
  <si>
    <t xml:space="preserve">Blindness</t>
  </si>
  <si>
    <t xml:space="preserve">8/14</t>
  </si>
  <si>
    <t xml:space="preserve">Blinds target; Suffers full darkness penalty</t>
  </si>
  <si>
    <t xml:space="preserve">Bone Circle</t>
  </si>
  <si>
    <t xml:space="preserve">3 (rit)*</t>
  </si>
  <si>
    <t xml:space="preserve">6/17</t>
  </si>
  <si>
    <t xml:space="preserve">R+3 months</t>
  </si>
  <si>
    <t xml:space="preserve">Astral Shield</t>
  </si>
  <si>
    <t xml:space="preserve"> Touch</t>
  </si>
  <si>
    <t xml:space="preserve">+3 to Spell Defense</t>
  </si>
  <si>
    <t xml:space="preserve">Boil Water</t>
  </si>
  <si>
    <t xml:space="preserve">7/13</t>
  </si>
  <si>
    <t xml:space="preserve">Boils Water</t>
  </si>
  <si>
    <t xml:space="preserve">PG 154</t>
  </si>
  <si>
    <t xml:space="preserve">Crafty Thought</t>
  </si>
  <si>
    <t xml:space="preserve">Detect Nethermancy Magic</t>
  </si>
  <si>
    <t xml:space="preserve">Clean</t>
  </si>
  <si>
    <t xml:space="preserve">1 min</t>
  </si>
  <si>
    <t xml:space="preserve">PG 158</t>
  </si>
  <si>
    <t xml:space="preserve">Gadfly</t>
  </si>
  <si>
    <t xml:space="preserve">Causes target to be Harried</t>
  </si>
  <si>
    <t xml:space="preserve">Detect Elementalism Magic</t>
  </si>
  <si>
    <t xml:space="preserve">W+6 (30 yds radius from magician)</t>
  </si>
  <si>
    <t xml:space="preserve">Disaster</t>
  </si>
  <si>
    <t xml:space="preserve">9/17</t>
  </si>
  <si>
    <t xml:space="preserve">Ethereal Darkness</t>
  </si>
  <si>
    <t xml:space="preserve">Creates magical darkness</t>
  </si>
  <si>
    <t xml:space="preserve">R+6 rnds</t>
  </si>
  <si>
    <t xml:space="preserve">PG 167</t>
  </si>
  <si>
    <t xml:space="preserve">Dodge Boost</t>
  </si>
  <si>
    <t xml:space="preserve">NA/8</t>
  </si>
  <si>
    <t xml:space="preserve">+3 bonus to Avoid Blow Tests</t>
  </si>
  <si>
    <t xml:space="preserve">Gills</t>
  </si>
  <si>
    <t xml:space="preserve">4/13</t>
  </si>
  <si>
    <t xml:space="preserve">Allows target to breathe underwater</t>
  </si>
  <si>
    <t xml:space="preserve">PG 174</t>
  </si>
  <si>
    <t xml:space="preserve">Flame Strike</t>
  </si>
  <si>
    <t xml:space="preserve">R hours</t>
  </si>
  <si>
    <t xml:space="preserve">PG 166</t>
  </si>
  <si>
    <t xml:space="preserve">Fog Ghost</t>
  </si>
  <si>
    <t xml:space="preserve">Summons Fog Ghost</t>
  </si>
  <si>
    <t xml:space="preserve">Rope Ladder</t>
  </si>
  <si>
    <t xml:space="preserve">50 yds</t>
  </si>
  <si>
    <t xml:space="preserve">Create ladder from rope</t>
  </si>
  <si>
    <t xml:space="preserve">PG 194</t>
  </si>
  <si>
    <t xml:space="preserve">Hunter's Sense</t>
  </si>
  <si>
    <t xml:space="preserve">NA/14</t>
  </si>
  <si>
    <t xml:space="preserve">PG 176</t>
  </si>
  <si>
    <t xml:space="preserve">Ephemeral Bolt</t>
  </si>
  <si>
    <t xml:space="preserve">Seal</t>
  </si>
  <si>
    <t xml:space="preserve">6/11</t>
  </si>
  <si>
    <t xml:space="preserve">Icy Surface</t>
  </si>
  <si>
    <t xml:space="preserve">Wil (100sq yds no greater than 20 yds in any dimension)</t>
  </si>
  <si>
    <t xml:space="preserve">Impossible Knot</t>
  </si>
  <si>
    <t xml:space="preserve">R+1 days</t>
  </si>
  <si>
    <t xml:space="preserve">Life Circle of One</t>
  </si>
  <si>
    <t xml:space="preserve">6, TSD*</t>
  </si>
  <si>
    <t xml:space="preserve">Vines</t>
  </si>
  <si>
    <t xml:space="preserve">PG 207</t>
  </si>
  <si>
    <t xml:space="preserve">Path Home</t>
  </si>
  <si>
    <t xml:space="preserve">Summons spirit wings to guide caster home</t>
  </si>
  <si>
    <t xml:space="preserve">R+20 min</t>
  </si>
  <si>
    <t xml:space="preserve">Ice Spear</t>
  </si>
  <si>
    <t xml:space="preserve">W+3</t>
  </si>
  <si>
    <t xml:space="preserve">Innocent Activity</t>
  </si>
  <si>
    <t xml:space="preserve">Covers up true activity</t>
  </si>
  <si>
    <t xml:space="preserve">Pocket Guardian</t>
  </si>
  <si>
    <t xml:space="preserve">Summons diminutive spirit guardian</t>
  </si>
  <si>
    <t xml:space="preserve">Wake-Up Call</t>
  </si>
  <si>
    <t xml:space="preserve">Sets an alarm to go off at a specified time</t>
  </si>
  <si>
    <t xml:space="preserve">Up to 24 hrs</t>
  </si>
  <si>
    <t xml:space="preserve">Small Slayer</t>
  </si>
  <si>
    <t xml:space="preserve">Summons a poisonous creature</t>
  </si>
  <si>
    <t xml:space="preserve">Monstrous Mantle</t>
  </si>
  <si>
    <t xml:space="preserve">8/13</t>
  </si>
  <si>
    <t xml:space="preserve">Increases target's combat prowess</t>
  </si>
  <si>
    <t xml:space="preserve">Repel Animal</t>
  </si>
  <si>
    <t xml:space="preserve">6 yds</t>
  </si>
  <si>
    <t xml:space="preserve">R+1 hrs</t>
  </si>
  <si>
    <t xml:space="preserve">Aura Strike</t>
  </si>
  <si>
    <t xml:space="preserve">7/12</t>
  </si>
  <si>
    <t xml:space="preserve">PG 151</t>
  </si>
  <si>
    <t xml:space="preserve">Remove Shadow</t>
  </si>
  <si>
    <t xml:space="preserve">Removes target's shadow and reflection</t>
  </si>
  <si>
    <t xml:space="preserve">Shadow's Whisper</t>
  </si>
  <si>
    <t xml:space="preserve">PG 196</t>
  </si>
  <si>
    <t xml:space="preserve">Catwalk</t>
  </si>
  <si>
    <t xml:space="preserve">+6 bonus to Action Tests involving climbing or balancing</t>
  </si>
  <si>
    <t xml:space="preserve">R+8 rnds</t>
  </si>
  <si>
    <t xml:space="preserve">Weather Cloak</t>
  </si>
  <si>
    <t xml:space="preserve">6/9</t>
  </si>
  <si>
    <t xml:space="preserve">Rx10 min</t>
  </si>
  <si>
    <t xml:space="preserve">Shield Willow</t>
  </si>
  <si>
    <t xml:space="preserve">+6 to shield shatter threshold and +1 to phys and mystic armor</t>
  </si>
  <si>
    <t xml:space="preserve">Send Message</t>
  </si>
  <si>
    <t xml:space="preserve">Self*</t>
  </si>
  <si>
    <t xml:space="preserve">Passes a paper message to a chosen target</t>
  </si>
  <si>
    <t xml:space="preserve">R rounds</t>
  </si>
  <si>
    <t xml:space="preserve">PG 195</t>
  </si>
  <si>
    <t xml:space="preserve">Shield Mist</t>
  </si>
  <si>
    <t xml:space="preserve">Combat Fury</t>
  </si>
  <si>
    <t xml:space="preserve">9/16</t>
  </si>
  <si>
    <t xml:space="preserve">+4 bonus to Attack and Damage Tests</t>
  </si>
  <si>
    <t xml:space="preserve">Slow Metal Weapon</t>
  </si>
  <si>
    <t xml:space="preserve">9/13</t>
  </si>
  <si>
    <t xml:space="preserve">-3 penalty to weapon's damage tests</t>
  </si>
  <si>
    <t xml:space="preserve">Tailor</t>
  </si>
  <si>
    <t xml:space="preserve">PG 203</t>
  </si>
  <si>
    <t xml:space="preserve">False Aura</t>
  </si>
  <si>
    <t xml:space="preserve">Behind Eye</t>
  </si>
  <si>
    <t xml:space="preserve">6/16</t>
  </si>
  <si>
    <t xml:space="preserve">Allows Step 4/D6 Perception to rear</t>
  </si>
  <si>
    <t xml:space="preserve">R+30 min</t>
  </si>
  <si>
    <t xml:space="preserve">True Ephemeral Bolt</t>
  </si>
  <si>
    <t xml:space="preserve">Arrow of Night</t>
  </si>
  <si>
    <t xml:space="preserve">+8 bonus to missile's Damage Test</t>
  </si>
  <si>
    <t xml:space="preserve">Healing Sleep</t>
  </si>
  <si>
    <t xml:space="preserve">Bonus Recovery Test; +4 bonus to Recovery Tests</t>
  </si>
  <si>
    <t xml:space="preserve">8 hours</t>
  </si>
  <si>
    <t xml:space="preserve">Sterilize Object</t>
  </si>
  <si>
    <t xml:space="preserve">PG 201</t>
  </si>
  <si>
    <t xml:space="preserve">Dark Messenger</t>
  </si>
  <si>
    <t xml:space="preserve">Sends nightflyer to deliver message</t>
  </si>
  <si>
    <t xml:space="preserve">R hrs</t>
  </si>
  <si>
    <t xml:space="preserve">Identify Spell</t>
  </si>
  <si>
    <t xml:space="preserve">0*</t>
  </si>
  <si>
    <t xml:space="preserve">NA/12</t>
  </si>
  <si>
    <t xml:space="preserve">See text</t>
  </si>
  <si>
    <t xml:space="preserve">Identifies a previously cast spell</t>
  </si>
  <si>
    <t xml:space="preserve">Death Trance</t>
  </si>
  <si>
    <t xml:space="preserve">Places target into hibernation</t>
  </si>
  <si>
    <t xml:space="preserve">R+3 hrs</t>
  </si>
  <si>
    <t xml:space="preserve">Stick Together</t>
  </si>
  <si>
    <t xml:space="preserve">PG 202</t>
  </si>
  <si>
    <t xml:space="preserve">You Got Me</t>
  </si>
  <si>
    <t xml:space="preserve">PG 210</t>
  </si>
  <si>
    <t xml:space="preserve">Leaps and Bounds</t>
  </si>
  <si>
    <t xml:space="preserve">Dispel Shamanism Magic</t>
  </si>
  <si>
    <t xml:space="preserve">Alarm</t>
  </si>
  <si>
    <t xml:space="preserve">8/17</t>
  </si>
  <si>
    <t xml:space="preserve">Death's Head</t>
  </si>
  <si>
    <t xml:space="preserve">Levitate</t>
  </si>
  <si>
    <t xml:space="preserve">8/18</t>
  </si>
  <si>
    <t xml:space="preserve">Levitate up to 2000 lbs</t>
  </si>
  <si>
    <t xml:space="preserve">Fog of Fear</t>
  </si>
  <si>
    <t xml:space="preserve">PG 172</t>
  </si>
  <si>
    <t xml:space="preserve">Dispel Elementalism Magic</t>
  </si>
  <si>
    <t xml:space="preserve">And Then I Woke Up</t>
  </si>
  <si>
    <t xml:space="preserve">10/15</t>
  </si>
  <si>
    <t xml:space="preserve">+8 bonus to Perception and True Sight Tests</t>
  </si>
  <si>
    <t xml:space="preserve">2 rnds</t>
  </si>
  <si>
    <t xml:space="preserve">Dispel Nethermancy Magic</t>
  </si>
  <si>
    <t xml:space="preserve">Notice Not</t>
  </si>
  <si>
    <t xml:space="preserve">+3 bonus to Tests for stealthy actions</t>
  </si>
  <si>
    <t xml:space="preserve">PG 187</t>
  </si>
  <si>
    <t xml:space="preserve">Ice Mace and Chain</t>
  </si>
  <si>
    <t xml:space="preserve">Fingers of Wind</t>
  </si>
  <si>
    <t xml:space="preserve">PG 169</t>
  </si>
  <si>
    <t xml:space="preserve">Blinding Glare</t>
  </si>
  <si>
    <t xml:space="preserve">10/20</t>
  </si>
  <si>
    <t xml:space="preserve">W+6 (4 yd radius)</t>
  </si>
  <si>
    <t xml:space="preserve">Varies*</t>
  </si>
  <si>
    <t xml:space="preserve">Ork Stoke</t>
  </si>
  <si>
    <t xml:space="preserve">Sets off gahad in ork target</t>
  </si>
  <si>
    <t xml:space="preserve">Instant</t>
  </si>
  <si>
    <t xml:space="preserve">Mind Fog</t>
  </si>
  <si>
    <t xml:space="preserve">8/15</t>
  </si>
  <si>
    <t xml:space="preserve">R rnds</t>
  </si>
  <si>
    <t xml:space="preserve">Fuel Flame</t>
  </si>
  <si>
    <t xml:space="preserve">Rank rnds</t>
  </si>
  <si>
    <t xml:space="preserve">Dampen Karma</t>
  </si>
  <si>
    <t xml:space="preserve">-3 Karma step penalty </t>
  </si>
  <si>
    <t xml:space="preserve">Grave Message</t>
  </si>
  <si>
    <t xml:space="preserve">7/19</t>
  </si>
  <si>
    <t xml:space="preserve">100 miles</t>
  </si>
  <si>
    <t xml:space="preserve">Sends a message to a Nethermancer</t>
  </si>
  <si>
    <t xml:space="preserve">R days</t>
  </si>
  <si>
    <t xml:space="preserve">Grounding</t>
  </si>
  <si>
    <t xml:space="preserve">4/12</t>
  </si>
  <si>
    <t xml:space="preserve">+6 to phys and mystic armor against electric, +6 Knockdown Test Bonus</t>
  </si>
  <si>
    <t xml:space="preserve">Detect Illusionism Magic</t>
  </si>
  <si>
    <t xml:space="preserve">Pack Bags</t>
  </si>
  <si>
    <t xml:space="preserve">7/11</t>
  </si>
  <si>
    <t xml:space="preserve">W-1</t>
  </si>
  <si>
    <t xml:space="preserve">Seeking Sight</t>
  </si>
  <si>
    <t xml:space="preserve">+3 bonus to missile Attack Tests made against target</t>
  </si>
  <si>
    <t xml:space="preserve">Plant Feast</t>
  </si>
  <si>
    <t xml:space="preserve">Dispel Illusionism Magic</t>
  </si>
  <si>
    <t xml:space="preserve">Pain</t>
  </si>
  <si>
    <t xml:space="preserve">Shatter Lock</t>
  </si>
  <si>
    <t xml:space="preserve">Puddle Deep</t>
  </si>
  <si>
    <t xml:space="preserve">Wil (2 yd radius, 2 yd depth)</t>
  </si>
  <si>
    <t xml:space="preserve">Lightning Bolt</t>
  </si>
  <si>
    <t xml:space="preserve">PG 182</t>
  </si>
  <si>
    <t xml:space="preserve">False Floor</t>
  </si>
  <si>
    <t xml:space="preserve">W+6 (6 yd radius)</t>
  </si>
  <si>
    <t xml:space="preserve">Preserve</t>
  </si>
  <si>
    <t xml:space="preserve">Prevents target from decaying</t>
  </si>
  <si>
    <t xml:space="preserve">Water Wings</t>
  </si>
  <si>
    <t xml:space="preserve">Waterproofs windling wings</t>
  </si>
  <si>
    <t xml:space="preserve">Soothe the Savage Beast</t>
  </si>
  <si>
    <t xml:space="preserve">Hypnotizes animal into passivity</t>
  </si>
  <si>
    <t xml:space="preserve">PG 198</t>
  </si>
  <si>
    <t xml:space="preserve">Impossible Lock</t>
  </si>
  <si>
    <t xml:space="preserve">Shadow Meld</t>
  </si>
  <si>
    <t xml:space="preserve">Wizard Mark</t>
  </si>
  <si>
    <t xml:space="preserve">Places astral mark of target</t>
  </si>
  <si>
    <t xml:space="preserve">Sunlight</t>
  </si>
  <si>
    <t xml:space="preserve">Creates daylight (10 yd radius)</t>
  </si>
  <si>
    <t xml:space="preserve">Porter</t>
  </si>
  <si>
    <t xml:space="preserve">9/15</t>
  </si>
  <si>
    <t xml:space="preserve">15 yds</t>
  </si>
  <si>
    <t xml:space="preserve">Spirit Double</t>
  </si>
  <si>
    <t xml:space="preserve">11/19</t>
  </si>
  <si>
    <t xml:space="preserve">Creates spirit double of the magician</t>
  </si>
  <si>
    <t xml:space="preserve">Ball of String</t>
  </si>
  <si>
    <t xml:space="preserve">Thrive</t>
  </si>
  <si>
    <t xml:space="preserve">Accelerates plant growth (2 yd radius)</t>
  </si>
  <si>
    <t xml:space="preserve">PG 204</t>
  </si>
  <si>
    <t xml:space="preserve">Nobody Here</t>
  </si>
  <si>
    <t xml:space="preserve">10/18</t>
  </si>
  <si>
    <t xml:space="preserve">W+8 (4 yd radius)</t>
  </si>
  <si>
    <t xml:space="preserve">Summon Bone Ghost</t>
  </si>
  <si>
    <t xml:space="preserve">4 yds*</t>
  </si>
  <si>
    <t xml:space="preserve">Summons a bone spirit</t>
  </si>
  <si>
    <t xml:space="preserve">Binding Threads</t>
  </si>
  <si>
    <t xml:space="preserve">10/17</t>
  </si>
  <si>
    <t xml:space="preserve">Repair</t>
  </si>
  <si>
    <t xml:space="preserve">Phantom Warrior</t>
  </si>
  <si>
    <t xml:space="preserve">Creates three images of target</t>
  </si>
  <si>
    <t xml:space="preserve">Animate Skeleton</t>
  </si>
  <si>
    <t xml:space="preserve">7/18</t>
  </si>
  <si>
    <t xml:space="preserve">Animates Skeletons</t>
  </si>
  <si>
    <t xml:space="preserve">Buoyancy</t>
  </si>
  <si>
    <t xml:space="preserve">13/20</t>
  </si>
  <si>
    <t xml:space="preserve">+3 bonus to Swimming Tests</t>
  </si>
  <si>
    <t xml:space="preserve">PG 156</t>
  </si>
  <si>
    <t xml:space="preserve">Winds of Deflection</t>
  </si>
  <si>
    <t xml:space="preserve">PG 209</t>
  </si>
  <si>
    <t xml:space="preserve">Rust</t>
  </si>
  <si>
    <t xml:space="preserve">Reduces weapon's damage step or metal armor/shield physical armor</t>
  </si>
  <si>
    <t xml:space="preserve">See the Unseen</t>
  </si>
  <si>
    <t xml:space="preserve">+8 to sight-based Perception Tests</t>
  </si>
  <si>
    <t xml:space="preserve">Astral Flare</t>
  </si>
  <si>
    <t xml:space="preserve">Dust Devil</t>
  </si>
  <si>
    <t xml:space="preserve">32 yds</t>
  </si>
  <si>
    <t xml:space="preserve">Causes a Harried penalty to Tests requiring sight, hearing, or smell</t>
  </si>
  <si>
    <t xml:space="preserve">Air Blast</t>
  </si>
  <si>
    <t xml:space="preserve">10/16</t>
  </si>
  <si>
    <t xml:space="preserve">12 hexes (24yds)</t>
  </si>
  <si>
    <t xml:space="preserve">W+9</t>
  </si>
  <si>
    <t xml:space="preserve">Sky Lattice</t>
  </si>
  <si>
    <t xml:space="preserve">120 yds</t>
  </si>
  <si>
    <t xml:space="preserve">Blood Servitor</t>
  </si>
  <si>
    <t xml:space="preserve">R miles</t>
  </si>
  <si>
    <t xml:space="preserve">Creates a flying servant</t>
  </si>
  <si>
    <t xml:space="preserve">Hair Frenzy</t>
  </si>
  <si>
    <t xml:space="preserve">NA/20</t>
  </si>
  <si>
    <t xml:space="preserve">The target is considered Harried</t>
  </si>
  <si>
    <t xml:space="preserve">Bilizzard Sphere</t>
  </si>
  <si>
    <t xml:space="preserve">W+8 (4 yd radius from center)</t>
  </si>
  <si>
    <t xml:space="preserve">Smoke Cloud</t>
  </si>
  <si>
    <t xml:space="preserve">Causes a Complete Darkness (4 yd radius around magician)</t>
  </si>
  <si>
    <t xml:space="preserve">Suffocation</t>
  </si>
  <si>
    <t xml:space="preserve">Dark Spy</t>
  </si>
  <si>
    <t xml:space="preserve">Can see through nightflyer's eyes</t>
  </si>
  <si>
    <t xml:space="preserve">Icy Protection</t>
  </si>
  <si>
    <t xml:space="preserve">Reduces fire- and heat-based damage</t>
  </si>
  <si>
    <t xml:space="preserve">Snuff</t>
  </si>
  <si>
    <t xml:space="preserve">W+5 (2 yd radius)</t>
  </si>
  <si>
    <t xml:space="preserve">Aura</t>
  </si>
  <si>
    <t xml:space="preserve">Makes target's aura visible</t>
  </si>
  <si>
    <t xml:space="preserve">Evil Eye</t>
  </si>
  <si>
    <t xml:space="preserve">Causes a -5 penalty to Action Tests</t>
  </si>
  <si>
    <t xml:space="preserve">Identify Magic</t>
  </si>
  <si>
    <t xml:space="preserve">Identifies the type of magic on a person, place, or thing</t>
  </si>
  <si>
    <t xml:space="preserve">Circle of Well Being</t>
  </si>
  <si>
    <t xml:space="preserve">W  (2 yd radius)</t>
  </si>
  <si>
    <t xml:space="preserve">Bleeding Edge</t>
  </si>
  <si>
    <t xml:space="preserve">+5 to target melee weapon's Damage Tests*</t>
  </si>
  <si>
    <t xml:space="preserve">Fatal Food</t>
  </si>
  <si>
    <t xml:space="preserve">Inventory</t>
  </si>
  <si>
    <t xml:space="preserve">9/18</t>
  </si>
  <si>
    <t xml:space="preserve">Conceal Tracks</t>
  </si>
  <si>
    <t xml:space="preserve">Friend or Foe</t>
  </si>
  <si>
    <t xml:space="preserve">Juggler's Touch</t>
  </si>
  <si>
    <t xml:space="preserve">PG 180</t>
  </si>
  <si>
    <t xml:space="preserve">Throne of Air</t>
  </si>
  <si>
    <t xml:space="preserve">Clarion Call</t>
  </si>
  <si>
    <t xml:space="preserve">Last Chance</t>
  </si>
  <si>
    <t xml:space="preserve">Grants a bonus Recovery Test with +8 bonus</t>
  </si>
  <si>
    <t xml:space="preserve">Kaer Knocking</t>
  </si>
  <si>
    <t xml:space="preserve">Falcon's Cloak</t>
  </si>
  <si>
    <t xml:space="preserve">Turns caster into falcon</t>
  </si>
  <si>
    <t xml:space="preserve">Nightflyer's Cloak</t>
  </si>
  <si>
    <t xml:space="preserve">Transforms caster into a nightflyer</t>
  </si>
  <si>
    <t xml:space="preserve">PG 186</t>
  </si>
  <si>
    <t xml:space="preserve">Karmic Connection</t>
  </si>
  <si>
    <t xml:space="preserve">W+10</t>
  </si>
  <si>
    <t xml:space="preserve">Eyes Have It</t>
  </si>
  <si>
    <t xml:space="preserve">Spirit Servant</t>
  </si>
  <si>
    <t xml:space="preserve">8/20</t>
  </si>
  <si>
    <t xml:space="preserve">Summons a spirit servant</t>
  </si>
  <si>
    <t xml:space="preserve">R+3 days</t>
  </si>
  <si>
    <t xml:space="preserve">PG 200</t>
  </si>
  <si>
    <t xml:space="preserve">Relax</t>
  </si>
  <si>
    <t xml:space="preserve">Great Weapon</t>
  </si>
  <si>
    <t xml:space="preserve">Causes target to become Harried</t>
  </si>
  <si>
    <t xml:space="preserve">R+2 rnds</t>
  </si>
  <si>
    <t xml:space="preserve">Viewpoint</t>
  </si>
  <si>
    <t xml:space="preserve">Repair Lock</t>
  </si>
  <si>
    <t xml:space="preserve">Permanent</t>
  </si>
  <si>
    <t xml:space="preserve">Great Sticky Vines</t>
  </si>
  <si>
    <t xml:space="preserve">11/20</t>
  </si>
  <si>
    <t xml:space="preserve">6 (TSD)*</t>
  </si>
  <si>
    <t xml:space="preserve">[Element] Spear</t>
  </si>
  <si>
    <t xml:space="preserve">Hunger</t>
  </si>
  <si>
    <t xml:space="preserve">Increases or diminishes hunger</t>
  </si>
  <si>
    <t xml:space="preserve">Visions of Death</t>
  </si>
  <si>
    <t xml:space="preserve">Immobilizes target character</t>
  </si>
  <si>
    <t xml:space="preserve">Thorny Retreat</t>
  </si>
  <si>
    <t xml:space="preserve">11/13</t>
  </si>
  <si>
    <t xml:space="preserve">W+2 (4yd tall x 2yd thick x 2yd wide section)</t>
  </si>
  <si>
    <t xml:space="preserve">Improved Alarm</t>
  </si>
  <si>
    <t xml:space="preserve">8/19</t>
  </si>
  <si>
    <t xml:space="preserve">W+5 (4 yd radius from origin)</t>
  </si>
  <si>
    <t xml:space="preserve">Animate Spirit Object</t>
  </si>
  <si>
    <t xml:space="preserve">10/19</t>
  </si>
  <si>
    <t xml:space="preserve">Trust</t>
  </si>
  <si>
    <t xml:space="preserve">13/17</t>
  </si>
  <si>
    <t xml:space="preserve">Fire Whip</t>
  </si>
  <si>
    <t xml:space="preserve">Memory Blank</t>
  </si>
  <si>
    <t xml:space="preserve">PG 184</t>
  </si>
  <si>
    <t xml:space="preserve">Astral Horror</t>
  </si>
  <si>
    <t xml:space="preserve">9/19</t>
  </si>
  <si>
    <t xml:space="preserve">Wizard's Cloak</t>
  </si>
  <si>
    <t xml:space="preserve">Multi-Missile</t>
  </si>
  <si>
    <t xml:space="preserve">+4 missiles</t>
  </si>
  <si>
    <t xml:space="preserve">Astral Mount</t>
  </si>
  <si>
    <t xml:space="preserve">2 or 4*</t>
  </si>
  <si>
    <t xml:space="preserve">11/17</t>
  </si>
  <si>
    <t xml:space="preserve">Conjures an astral mount</t>
  </si>
  <si>
    <t xml:space="preserve">PG 149</t>
  </si>
  <si>
    <t xml:space="preserve">Counterspell</t>
  </si>
  <si>
    <t xml:space="preserve">Improves Magic defense</t>
  </si>
  <si>
    <t xml:space="preserve">Lighten Load</t>
  </si>
  <si>
    <t xml:space="preserve">W+3 (2 yd radius)</t>
  </si>
  <si>
    <t xml:space="preserve">R+7 hrs</t>
  </si>
  <si>
    <t xml:space="preserve">Nightmare of Foreboding</t>
  </si>
  <si>
    <t xml:space="preserve">-6 to target's Wound Threshold</t>
  </si>
  <si>
    <t xml:space="preserve">Astral Whisper</t>
  </si>
  <si>
    <t xml:space="preserve">11/18</t>
  </si>
  <si>
    <t xml:space="preserve">Giant Size</t>
  </si>
  <si>
    <t xml:space="preserve">+5 bonus to Strength and Toughness Tests</t>
  </si>
  <si>
    <t xml:space="preserve">Lightning Shield</t>
  </si>
  <si>
    <t xml:space="preserve">W+3 </t>
  </si>
  <si>
    <t xml:space="preserve">Stop Right There</t>
  </si>
  <si>
    <t xml:space="preserve">Blind</t>
  </si>
  <si>
    <t xml:space="preserve">11/15</t>
  </si>
  <si>
    <t xml:space="preserve">8 yds</t>
  </si>
  <si>
    <t xml:space="preserve">Heat Metal Armor</t>
  </si>
  <si>
    <t xml:space="preserve">Lightning Step</t>
  </si>
  <si>
    <t xml:space="preserve">Unmask</t>
  </si>
  <si>
    <t xml:space="preserve">Circle of Astral Protection</t>
  </si>
  <si>
    <t xml:space="preserve">Invigorate</t>
  </si>
  <si>
    <t xml:space="preserve">+5 bonus to Recovery Tests</t>
  </si>
  <si>
    <t xml:space="preserve">Root trap</t>
  </si>
  <si>
    <t xml:space="preserve">6,TSD*</t>
  </si>
  <si>
    <t xml:space="preserve">Liquid Arrow</t>
  </si>
  <si>
    <t xml:space="preserve">Awaken</t>
  </si>
  <si>
    <t xml:space="preserve">Incessant Talking</t>
  </si>
  <si>
    <t xml:space="preserve">14/18</t>
  </si>
  <si>
    <t xml:space="preserve">Forces target to babble nonsense</t>
  </si>
  <si>
    <t xml:space="preserve">Kaer Pictographs</t>
  </si>
  <si>
    <t xml:space="preserve">Creates pictures or written messages</t>
  </si>
  <si>
    <t xml:space="preserve">10 min</t>
  </si>
  <si>
    <t xml:space="preserve">Lodestone's Touch</t>
  </si>
  <si>
    <t xml:space="preserve">6 yds*</t>
  </si>
  <si>
    <t xml:space="preserve">PG 183</t>
  </si>
  <si>
    <t xml:space="preserve">Bond of Silence</t>
  </si>
  <si>
    <t xml:space="preserve">Pass Ward</t>
  </si>
  <si>
    <t xml:space="preserve">5 (6,7)*</t>
  </si>
  <si>
    <t xml:space="preserve">13/21</t>
  </si>
  <si>
    <t xml:space="preserve">W+12</t>
  </si>
  <si>
    <t xml:space="preserve">R wks*</t>
  </si>
  <si>
    <t xml:space="preserve">Mage Armor</t>
  </si>
  <si>
    <t xml:space="preserve">12/16</t>
  </si>
  <si>
    <t xml:space="preserve">+4 to Physical Armor</t>
  </si>
  <si>
    <t xml:space="preserve">Uneven Ground</t>
  </si>
  <si>
    <t xml:space="preserve">Penalty to enemy character actions (10 yd radius)</t>
  </si>
  <si>
    <t xml:space="preserve">Clothing Gone</t>
  </si>
  <si>
    <t xml:space="preserve">11/21</t>
  </si>
  <si>
    <t xml:space="preserve">5 rounds</t>
  </si>
  <si>
    <t xml:space="preserve">Sculpt Darkness</t>
  </si>
  <si>
    <t xml:space="preserve">+4 bonus to stealth-based Action Tests</t>
  </si>
  <si>
    <t xml:space="preserve">Makeshift Missile</t>
  </si>
  <si>
    <t xml:space="preserve">Shield of Warping</t>
  </si>
  <si>
    <t xml:space="preserve">Enter and Exit</t>
  </si>
  <si>
    <t xml:space="preserve">Shows quickest entrance and exit (60 yd radius)</t>
  </si>
  <si>
    <t xml:space="preserve">Sense Horror</t>
  </si>
  <si>
    <t xml:space="preserve">Mystic Shock</t>
  </si>
  <si>
    <t xml:space="preserve">Ironwood</t>
  </si>
  <si>
    <t xml:space="preserve">Transforms wood</t>
  </si>
  <si>
    <t xml:space="preserve">Spirits of Death's Sea</t>
  </si>
  <si>
    <t xml:space="preserve">Eye of Truth</t>
  </si>
  <si>
    <t xml:space="preserve">+10 bonus to Disbelief Tests</t>
  </si>
  <si>
    <t xml:space="preserve">Shadow Hunter</t>
  </si>
  <si>
    <t xml:space="preserve">Summons hunter spirit</t>
  </si>
  <si>
    <t xml:space="preserve">Sanctuary</t>
  </si>
  <si>
    <t xml:space="preserve">Nutritious Earth</t>
  </si>
  <si>
    <t xml:space="preserve">Makes land fertile (100 yd radius)</t>
  </si>
  <si>
    <t xml:space="preserve">A yr and a day</t>
  </si>
  <si>
    <t xml:space="preserve">Suffocating Paste</t>
  </si>
  <si>
    <t xml:space="preserve">Flesh Eater</t>
  </si>
  <si>
    <t xml:space="preserve">14/21</t>
  </si>
  <si>
    <t xml:space="preserve">Spiritual Guidance</t>
  </si>
  <si>
    <t xml:space="preserve">Summons spirit guide to answer a question</t>
  </si>
  <si>
    <t xml:space="preserve">30 rounds</t>
  </si>
  <si>
    <t xml:space="preserve">Slow</t>
  </si>
  <si>
    <t xml:space="preserve">Halves movement, -5 penalty to Dexterity-based Tests</t>
  </si>
  <si>
    <t xml:space="preserve">Resist Poison</t>
  </si>
  <si>
    <t xml:space="preserve">+8 bonus to Toughness tests against poison</t>
  </si>
  <si>
    <t xml:space="preserve">Flying Carpet</t>
  </si>
  <si>
    <t xml:space="preserve">Star Shower</t>
  </si>
  <si>
    <t xml:space="preserve">Solo Flight</t>
  </si>
  <si>
    <t xml:space="preserve">Grants the power of flight</t>
  </si>
  <si>
    <t xml:space="preserve">R+15 min</t>
  </si>
  <si>
    <t xml:space="preserve">Weapon Back</t>
  </si>
  <si>
    <t xml:space="preserve">0 (2, rit)*</t>
  </si>
  <si>
    <t xml:space="preserve">5/16</t>
  </si>
  <si>
    <t xml:space="preserve">Rank weeks</t>
  </si>
  <si>
    <t xml:space="preserve">Illusion</t>
  </si>
  <si>
    <t xml:space="preserve">Creates illusions</t>
  </si>
  <si>
    <t xml:space="preserve">Target Portal</t>
  </si>
  <si>
    <t xml:space="preserve">1000 yds</t>
  </si>
  <si>
    <t xml:space="preserve">Study Thread</t>
  </si>
  <si>
    <t xml:space="preserve">Balloons of Mist</t>
  </si>
  <si>
    <t xml:space="preserve">Improve Karma</t>
  </si>
  <si>
    <t xml:space="preserve">+4 step bonus to target's Karma Step</t>
  </si>
  <si>
    <t xml:space="preserve">R+6 hrs</t>
  </si>
  <si>
    <t xml:space="preserve">Tears of the Scourge</t>
  </si>
  <si>
    <t xml:space="preserve">Blood Lost</t>
  </si>
  <si>
    <t xml:space="preserve">12/22</t>
  </si>
  <si>
    <t xml:space="preserve">Target loses ability to heal wounds</t>
  </si>
  <si>
    <t xml:space="preserve">Wither Limb</t>
  </si>
  <si>
    <t xml:space="preserve">Earth Staff</t>
  </si>
  <si>
    <t xml:space="preserve">Noble Manner</t>
  </si>
  <si>
    <t xml:space="preserve">+5 bonus to target's Interaction Tests</t>
  </si>
  <si>
    <t xml:space="preserve">Whisper Through The Night</t>
  </si>
  <si>
    <t xml:space="preserve">R+1 rnd</t>
  </si>
  <si>
    <t xml:space="preserve">Displace Self</t>
  </si>
  <si>
    <t xml:space="preserve">Bone Shatter</t>
  </si>
  <si>
    <t xml:space="preserve">12/20</t>
  </si>
  <si>
    <t xml:space="preserve">Fireball</t>
  </si>
  <si>
    <t xml:space="preserve">W+8 (4 yd radius at point of impact)</t>
  </si>
  <si>
    <t xml:space="preserve">Phantom Fireball</t>
  </si>
  <si>
    <t xml:space="preserve">W+8 (4 yd radius at impact point)</t>
  </si>
  <si>
    <t xml:space="preserve">Doom Missile</t>
  </si>
  <si>
    <t xml:space="preserve">10/21</t>
  </si>
  <si>
    <t xml:space="preserve">Ease Passage</t>
  </si>
  <si>
    <t xml:space="preserve">Inflame Self</t>
  </si>
  <si>
    <t xml:space="preserve">R+1 rnds</t>
  </si>
  <si>
    <t xml:space="preserve">Pleasant Visions</t>
  </si>
  <si>
    <t xml:space="preserve">Creates visions that prevent targets from acting</t>
  </si>
  <si>
    <t xml:space="preserve">Blessed Light</t>
  </si>
  <si>
    <t xml:space="preserve">Karma Cancel</t>
  </si>
  <si>
    <t xml:space="preserve">Prevents the use of Karma</t>
  </si>
  <si>
    <t xml:space="preserve">Foreseeing</t>
  </si>
  <si>
    <t xml:space="preserve">2 (rit)*</t>
  </si>
  <si>
    <t xml:space="preserve">Switch</t>
  </si>
  <si>
    <t xml:space="preserve">Switches magician's appearance with that of target</t>
  </si>
  <si>
    <t xml:space="preserve">Bone Puppet</t>
  </si>
  <si>
    <t xml:space="preserve">Loan Spell</t>
  </si>
  <si>
    <t xml:space="preserve">Loans spell</t>
  </si>
  <si>
    <t xml:space="preserve">Living Wall</t>
  </si>
  <si>
    <t xml:space="preserve">W+3 (up to 4 yd wide, 20 yds high, 2 yd thick)</t>
  </si>
  <si>
    <t xml:space="preserve">Metal Scream</t>
  </si>
  <si>
    <t xml:space="preserve">Wall of Unfire</t>
  </si>
  <si>
    <t xml:space="preserve">W+8 (4yd high x 2 yd thick x 2 yd wide)</t>
  </si>
  <si>
    <t xml:space="preserve">Makeshift Weapon</t>
  </si>
  <si>
    <t xml:space="preserve">9/20</t>
  </si>
  <si>
    <t xml:space="preserve">W+15</t>
  </si>
  <si>
    <t xml:space="preserve">Metal Wings</t>
  </si>
  <si>
    <t xml:space="preserve">Flight, +5 bonus to lifting strength</t>
  </si>
  <si>
    <t xml:space="preserve">Astral Shadow</t>
  </si>
  <si>
    <t xml:space="preserve">12/17</t>
  </si>
  <si>
    <t xml:space="preserve">Bone Walker</t>
  </si>
  <si>
    <t xml:space="preserve">12/18</t>
  </si>
  <si>
    <t xml:space="preserve">Creates bone walker (20 yds from caster)</t>
  </si>
  <si>
    <t xml:space="preserve">R+2 days</t>
  </si>
  <si>
    <t xml:space="preserve">Mental Library</t>
  </si>
  <si>
    <t xml:space="preserve">12/19</t>
  </si>
  <si>
    <t xml:space="preserve">+10 to Book Memory Rank</t>
  </si>
  <si>
    <t xml:space="preserve">Sleep</t>
  </si>
  <si>
    <t xml:space="preserve">Puts target characters to sleep</t>
  </si>
  <si>
    <t xml:space="preserve">Bouncing Blaster</t>
  </si>
  <si>
    <t xml:space="preserve">6*</t>
  </si>
  <si>
    <t xml:space="preserve">W+8 (up to 12 yd radius)</t>
  </si>
  <si>
    <t xml:space="preserve">Dust to Dust</t>
  </si>
  <si>
    <t xml:space="preserve">W+11</t>
  </si>
  <si>
    <t xml:space="preserve">Multi-Mind Dagger</t>
  </si>
  <si>
    <t xml:space="preserve">9/22</t>
  </si>
  <si>
    <t xml:space="preserve">Stench</t>
  </si>
  <si>
    <t xml:space="preserve">Chosen Path</t>
  </si>
  <si>
    <t xml:space="preserve">W+8 (60 yd radius)</t>
  </si>
  <si>
    <t xml:space="preserve">Foul Vapors</t>
  </si>
  <si>
    <t xml:space="preserve">Rampage</t>
  </si>
  <si>
    <t xml:space="preserve">Sets off orkish gahad</t>
  </si>
  <si>
    <t xml:space="preserve">Tossing Earth</t>
  </si>
  <si>
    <t xml:space="preserve">W+1 (20 yd radius)</t>
  </si>
  <si>
    <t xml:space="preserve">Shattering Stone</t>
  </si>
  <si>
    <t xml:space="preserve">W+6 (4 yd radius from impact)</t>
  </si>
  <si>
    <t xml:space="preserve">Dancing Disks</t>
  </si>
  <si>
    <t xml:space="preserve">Friendly Darkness</t>
  </si>
  <si>
    <t xml:space="preserve">Creates magical darkness* (6 yds radius from center)</t>
  </si>
  <si>
    <t xml:space="preserve">Razor Orb</t>
  </si>
  <si>
    <t xml:space="preserve">Tree Merge</t>
  </si>
  <si>
    <t xml:space="preserve">16/23</t>
  </si>
  <si>
    <t xml:space="preserve">Merges caster's body with a tree to hide him</t>
  </si>
  <si>
    <t xml:space="preserve">Stone Cage</t>
  </si>
  <si>
    <t xml:space="preserve">Trips character in a cage of stone (4h x 4w x 4thick yds)</t>
  </si>
  <si>
    <t xml:space="preserve">Beastform</t>
  </si>
  <si>
    <t xml:space="preserve">Transforms caster into animal</t>
  </si>
  <si>
    <t xml:space="preserve">Drastic Temperature</t>
  </si>
  <si>
    <t xml:space="preserve">Illusory Missiles</t>
  </si>
  <si>
    <t xml:space="preserve">12/15</t>
  </si>
  <si>
    <t xml:space="preserve">W+11 (4 yd radius)</t>
  </si>
  <si>
    <t xml:space="preserve">Soul Armor</t>
  </si>
  <si>
    <t xml:space="preserve">+5 Mystic Armor</t>
  </si>
  <si>
    <t xml:space="preserve">Spellstore</t>
  </si>
  <si>
    <t xml:space="preserve">Blood Boil</t>
  </si>
  <si>
    <t xml:space="preserve">4 rounds</t>
  </si>
  <si>
    <t xml:space="preserve">Memory Scribe</t>
  </si>
  <si>
    <t xml:space="preserve">R +1 hrs</t>
  </si>
  <si>
    <t xml:space="preserve">Wall of Darkness</t>
  </si>
  <si>
    <t xml:space="preserve">W+6 (10yd high, 2yd thick, 10yd wide)</t>
  </si>
  <si>
    <t xml:space="preserve">Astral Gift</t>
  </si>
  <si>
    <t xml:space="preserve">13/23</t>
  </si>
  <si>
    <t xml:space="preserve">Gives target Astral-Sensitive Sight</t>
  </si>
  <si>
    <t xml:space="preserve">Calm Water</t>
  </si>
  <si>
    <t xml:space="preserve">W+9 (500 sq yards of water)</t>
  </si>
  <si>
    <t xml:space="preserve">Fireweave</t>
  </si>
  <si>
    <t xml:space="preserve">Spotlight</t>
  </si>
  <si>
    <t xml:space="preserve">W+8 (2 yd radius)</t>
  </si>
  <si>
    <t xml:space="preserve">Astral Beacon.</t>
  </si>
  <si>
    <t xml:space="preserve">Creates beacon in astral space</t>
  </si>
  <si>
    <t xml:space="preserve">Cloud Summon</t>
  </si>
  <si>
    <t xml:space="preserve">8+*</t>
  </si>
  <si>
    <t xml:space="preserve">1 mile</t>
  </si>
  <si>
    <t xml:space="preserve">Flameshaw</t>
  </si>
  <si>
    <t xml:space="preserve">Astral Maw</t>
  </si>
  <si>
    <t xml:space="preserve">Call</t>
  </si>
  <si>
    <t xml:space="preserve">Delivers a message</t>
  </si>
  <si>
    <t xml:space="preserve">Death Rain</t>
  </si>
  <si>
    <t xml:space="preserve">15/18</t>
  </si>
  <si>
    <t xml:space="preserve">Step 5 acid damage (Wil+5; see text) (30 yd radius)</t>
  </si>
  <si>
    <t xml:space="preserve">Dream Sight</t>
  </si>
  <si>
    <t xml:space="preserve">Banquet of Dis</t>
  </si>
  <si>
    <t xml:space="preserve">Eliminates hunger and fatigue</t>
  </si>
  <si>
    <t xml:space="preserve">Confusing Weave</t>
  </si>
  <si>
    <t xml:space="preserve">Ricochet Attack</t>
  </si>
  <si>
    <t xml:space="preserve">Drunken Stagger</t>
  </si>
  <si>
    <t xml:space="preserve">Penalizes target's Action Tests</t>
  </si>
  <si>
    <t xml:space="preserve">R+5 days</t>
  </si>
  <si>
    <t xml:space="preserve">Bone Pudding</t>
  </si>
  <si>
    <t xml:space="preserve">Turns bonees to sludge</t>
  </si>
  <si>
    <t xml:space="preserve">Dislodge Spell</t>
  </si>
  <si>
    <t xml:space="preserve">Earth Q'wril</t>
  </si>
  <si>
    <t xml:space="preserve">16/18</t>
  </si>
  <si>
    <t xml:space="preserve">Move through earth</t>
  </si>
  <si>
    <t xml:space="preserve">Stone Rain</t>
  </si>
  <si>
    <t xml:space="preserve">15/22</t>
  </si>
  <si>
    <t xml:space="preserve">False Enchantment</t>
  </si>
  <si>
    <t xml:space="preserve">Gives an item fake magical abilities; +5 to Disbelief Difficulty</t>
  </si>
  <si>
    <t xml:space="preserve">R+7 days</t>
  </si>
  <si>
    <t xml:space="preserve">Cold Storage</t>
  </si>
  <si>
    <t xml:space="preserve">8 (rit)*</t>
  </si>
  <si>
    <t xml:space="preserve">Preserves organic matter</t>
  </si>
  <si>
    <t xml:space="preserve">R months</t>
  </si>
  <si>
    <t xml:space="preserve">Lightning Cloud</t>
  </si>
  <si>
    <t xml:space="preserve">Rebel Limb</t>
  </si>
  <si>
    <t xml:space="preserve">Constrict Heart</t>
  </si>
  <si>
    <t xml:space="preserve">NA/18</t>
  </si>
  <si>
    <t xml:space="preserve">Liquid Eyes</t>
  </si>
  <si>
    <t xml:space="preserve">Blinds target</t>
  </si>
  <si>
    <t xml:space="preserve">Reversal of Passion</t>
  </si>
  <si>
    <t xml:space="preserve">Damage Shift</t>
  </si>
  <si>
    <t xml:space="preserve">Shifts damage to another target</t>
  </si>
  <si>
    <t xml:space="preserve">3 rounds</t>
  </si>
  <si>
    <t xml:space="preserve">Move On Through</t>
  </si>
  <si>
    <t xml:space="preserve">NA/17</t>
  </si>
  <si>
    <t xml:space="preserve">Steal Strength</t>
  </si>
  <si>
    <t xml:space="preserve">Silent Stampede</t>
  </si>
  <si>
    <t xml:space="preserve">Silences sound</t>
  </si>
  <si>
    <t xml:space="preserve">Marathon Run</t>
  </si>
  <si>
    <t xml:space="preserve">Forces target to flee</t>
  </si>
  <si>
    <t xml:space="preserve">Mystic Net</t>
  </si>
  <si>
    <t xml:space="preserve">R+2 min</t>
  </si>
  <si>
    <t xml:space="preserve">Walk Through</t>
  </si>
  <si>
    <t xml:space="preserve">Creates a temporary pathway through an obstacle</t>
  </si>
  <si>
    <t xml:space="preserve">Stampede</t>
  </si>
  <si>
    <t xml:space="preserve">Causes target characters to become Harried</t>
  </si>
  <si>
    <t xml:space="preserve">Restrain Entity</t>
  </si>
  <si>
    <t xml:space="preserve">14/20</t>
  </si>
  <si>
    <t xml:space="preserve">Spell Cage</t>
  </si>
  <si>
    <t xml:space="preserve">-5 penalty to all Spellcasting Tests</t>
  </si>
  <si>
    <t xml:space="preserve">Time Flies</t>
  </si>
  <si>
    <t xml:space="preserve">10/23</t>
  </si>
  <si>
    <t xml:space="preserve">W+3 (24 yd radius)</t>
  </si>
  <si>
    <t xml:space="preserve">Reverse Withering</t>
  </si>
  <si>
    <t xml:space="preserve">Restores withered limb</t>
  </si>
  <si>
    <t xml:space="preserve">Catch Spell</t>
  </si>
  <si>
    <t xml:space="preserve">Dreamsend</t>
  </si>
  <si>
    <t xml:space="preserve">11/24</t>
  </si>
  <si>
    <t xml:space="preserve">Twisted Tongues</t>
  </si>
  <si>
    <t xml:space="preserve">Jumbles target's speech</t>
  </si>
  <si>
    <t xml:space="preserve">Spirit Bolt</t>
  </si>
  <si>
    <t xml:space="preserve">Compression Bubble</t>
  </si>
  <si>
    <t xml:space="preserve">Other Place</t>
  </si>
  <si>
    <t xml:space="preserve">9/21</t>
  </si>
  <si>
    <t xml:space="preserve">Links two doorways</t>
  </si>
  <si>
    <t xml:space="preserve">Vertigo</t>
  </si>
  <si>
    <t xml:space="preserve">-6 penalty to target's Action Tests</t>
  </si>
  <si>
    <t xml:space="preserve">Spirit Portal</t>
  </si>
  <si>
    <t xml:space="preserve">14/19</t>
  </si>
  <si>
    <t xml:space="preserve">Delay Blow</t>
  </si>
  <si>
    <t xml:space="preserve">Peacebond</t>
  </si>
  <si>
    <t xml:space="preserve">Earth Surfing</t>
  </si>
  <si>
    <t xml:space="preserve">10/22</t>
  </si>
  <si>
    <t xml:space="preserve">6 (10)*</t>
  </si>
  <si>
    <t xml:space="preserve">Creates earth wave (4 yd radius)</t>
  </si>
  <si>
    <t xml:space="preserve">1 hour</t>
  </si>
  <si>
    <t xml:space="preserve">Waterspout</t>
  </si>
  <si>
    <t xml:space="preserve">Engulf [Element]</t>
  </si>
  <si>
    <t xml:space="preserve">Astral Nightmare</t>
  </si>
  <si>
    <t xml:space="preserve">12/21</t>
  </si>
  <si>
    <t xml:space="preserve">Step Through Shadow</t>
  </si>
  <si>
    <t xml:space="preserve">12/24</t>
  </si>
  <si>
    <t xml:space="preserve">Creates an astral passageway</t>
  </si>
  <si>
    <t xml:space="preserve">Safe Opening</t>
  </si>
  <si>
    <t xml:space="preserve">Wither Away</t>
  </si>
  <si>
    <t xml:space="preserve">Fire Hounds</t>
  </si>
  <si>
    <t xml:space="preserve">Summons one or more fire hounds</t>
  </si>
  <si>
    <t xml:space="preserve">Wit Friend</t>
  </si>
  <si>
    <t xml:space="preserve">Spell Snatcher</t>
  </si>
  <si>
    <t xml:space="preserve">14/24</t>
  </si>
  <si>
    <t xml:space="preserve">Wound Mask</t>
  </si>
  <si>
    <t xml:space="preserve">13/15</t>
  </si>
  <si>
    <t xml:space="preserve">Flame Darts</t>
  </si>
  <si>
    <t xml:space="preserve">W+7 (2 yd radius)</t>
  </si>
  <si>
    <t xml:space="preserve">Form Exchange</t>
  </si>
  <si>
    <t xml:space="preserve">Control Being</t>
  </si>
  <si>
    <t xml:space="preserve">Cloud Banish</t>
  </si>
  <si>
    <t xml:space="preserve">15/20</t>
  </si>
  <si>
    <t xml:space="preserve">PC 138</t>
  </si>
  <si>
    <t xml:space="preserve">Grasping Hand of Earth</t>
  </si>
  <si>
    <t xml:space="preserve">Leaping Lizards</t>
  </si>
  <si>
    <t xml:space="preserve">Globe of Silence</t>
  </si>
  <si>
    <t xml:space="preserve">Absorbing Sphere</t>
  </si>
  <si>
    <t xml:space="preserve">13/19</t>
  </si>
  <si>
    <t xml:space="preserve">PC 135</t>
  </si>
  <si>
    <t xml:space="preserve">Glowing Swarm</t>
  </si>
  <si>
    <t xml:space="preserve">Creates a swarm of glowing insects</t>
  </si>
  <si>
    <t xml:space="preserve">PC 145</t>
  </si>
  <si>
    <t xml:space="preserve">Storm Manacles</t>
  </si>
  <si>
    <t xml:space="preserve">Massive Missiles</t>
  </si>
  <si>
    <t xml:space="preserve">Horror Call</t>
  </si>
  <si>
    <t xml:space="preserve">13/22</t>
  </si>
  <si>
    <t xml:space="preserve">W+16</t>
  </si>
  <si>
    <t xml:space="preserve">Channel Raw Magic</t>
  </si>
  <si>
    <t xml:space="preserve">12/25</t>
  </si>
  <si>
    <t xml:space="preserve">Channels astral ennergy through target</t>
  </si>
  <si>
    <t xml:space="preserve">Moon Shadow</t>
  </si>
  <si>
    <t xml:space="preserve">16/22</t>
  </si>
  <si>
    <t xml:space="preserve">1 month</t>
  </si>
  <si>
    <t xml:space="preserve">PC 146</t>
  </si>
  <si>
    <t xml:space="preserve">Thunderclap</t>
  </si>
  <si>
    <t xml:space="preserve">-8 penalty to action tests, causes deafness (2 yd radius)</t>
  </si>
  <si>
    <t xml:space="preserve">2 rnd</t>
  </si>
  <si>
    <t xml:space="preserve">Netherblade</t>
  </si>
  <si>
    <t xml:space="preserve">14/17</t>
  </si>
  <si>
    <t xml:space="preserve">Draining Eye</t>
  </si>
  <si>
    <t xml:space="preserve">14/15</t>
  </si>
  <si>
    <t xml:space="preserve">60 yds*</t>
  </si>
  <si>
    <t xml:space="preserve">PC 141</t>
  </si>
  <si>
    <t xml:space="preserve">Reattach Limb</t>
  </si>
  <si>
    <t xml:space="preserve">15/15</t>
  </si>
  <si>
    <t xml:space="preserve">PC 147</t>
  </si>
  <si>
    <t xml:space="preserve">Shadow Spell</t>
  </si>
  <si>
    <t xml:space="preserve">Restrain Horror</t>
  </si>
  <si>
    <t xml:space="preserve">Tell Tale</t>
  </si>
  <si>
    <t xml:space="preserve">Gains the answer to a question from target object</t>
  </si>
  <si>
    <t xml:space="preserve">PC 150</t>
  </si>
  <si>
    <t xml:space="preserve">Blade Fury</t>
  </si>
  <si>
    <t xml:space="preserve">PG 1153</t>
  </si>
  <si>
    <t xml:space="preserve">Do Unto Others</t>
  </si>
  <si>
    <t xml:space="preserve">20 yds*</t>
  </si>
  <si>
    <t xml:space="preserve">Creates illusory spell effects</t>
  </si>
  <si>
    <t xml:space="preserve">PC 140</t>
  </si>
  <si>
    <t xml:space="preserve">Shadow Tether</t>
  </si>
  <si>
    <t xml:space="preserve">16/19</t>
  </si>
  <si>
    <t xml:space="preserve">Observe Event</t>
  </si>
  <si>
    <t xml:space="preserve">Variable*</t>
  </si>
  <si>
    <t xml:space="preserve">Water Wall</t>
  </si>
  <si>
    <t xml:space="preserve">W+10 (2yd tall x 2yd wide sections)</t>
  </si>
  <si>
    <t xml:space="preserve">PC 152</t>
  </si>
  <si>
    <t xml:space="preserve">Crushing Hand of Earth</t>
  </si>
  <si>
    <t xml:space="preserve">Grim Reaper</t>
  </si>
  <si>
    <t xml:space="preserve">W+13</t>
  </si>
  <si>
    <t xml:space="preserve">Translator Spirit</t>
  </si>
  <si>
    <t xml:space="preserve">Damage Transfer</t>
  </si>
  <si>
    <t xml:space="preserve">Earth Wall</t>
  </si>
  <si>
    <t xml:space="preserve">W+12 (4 yds tall x 2 yd thick x 2 yd wide)</t>
  </si>
  <si>
    <t xml:space="preserve">One of the Crowd</t>
  </si>
  <si>
    <t xml:space="preserve">Visit Death</t>
  </si>
  <si>
    <t xml:space="preserve">Death Vow</t>
  </si>
  <si>
    <t xml:space="preserve">R weeks</t>
  </si>
  <si>
    <t xml:space="preserve">Perimeter Alarm</t>
  </si>
  <si>
    <t xml:space="preserve">W+12 (10 yd radius)</t>
  </si>
  <si>
    <t xml:space="preserve">Revulsion</t>
  </si>
  <si>
    <t xml:space="preserve">15/21</t>
  </si>
  <si>
    <t xml:space="preserve">PC 148</t>
  </si>
  <si>
    <t xml:space="preserve">Wall of Bones</t>
  </si>
  <si>
    <t xml:space="preserve">4 yd high x 2 yd thick x 2 yd wide wall section</t>
  </si>
  <si>
    <t xml:space="preserve">Wipe Matrices</t>
  </si>
  <si>
    <t xml:space="preserve">Eclipse</t>
  </si>
  <si>
    <t xml:space="preserve">20 miles</t>
  </si>
  <si>
    <t xml:space="preserve">PC 142</t>
  </si>
  <si>
    <t xml:space="preserve">Silence Metal</t>
  </si>
  <si>
    <t xml:space="preserve">Shift Walls</t>
  </si>
  <si>
    <t xml:space="preserve">PC 149</t>
  </si>
  <si>
    <t xml:space="preserve">Eternal Day</t>
  </si>
  <si>
    <t xml:space="preserve">18/21</t>
  </si>
  <si>
    <t xml:space="preserve">PC 143</t>
  </si>
  <si>
    <t xml:space="preserve">Silver Shadow</t>
  </si>
  <si>
    <t xml:space="preserve">Thundering Walls</t>
  </si>
  <si>
    <t xml:space="preserve">80 yds</t>
  </si>
  <si>
    <t xml:space="preserve">Create Life</t>
  </si>
  <si>
    <t xml:space="preserve">Varies (rit)*</t>
  </si>
  <si>
    <t xml:space="preserve">21/26</t>
  </si>
  <si>
    <t xml:space="preserve">Creates Life Form</t>
  </si>
  <si>
    <t xml:space="preserve">R+7 yrs</t>
  </si>
  <si>
    <t xml:space="preserve">PC 139</t>
  </si>
  <si>
    <t xml:space="preserve">Draw and Quarter</t>
  </si>
  <si>
    <t xml:space="preserve">16/26</t>
  </si>
  <si>
    <t xml:space="preserve">Journey to Life</t>
  </si>
  <si>
    <t xml:space="preserve">7*</t>
  </si>
  <si>
    <t xml:space="preserve">Afterlife</t>
  </si>
  <si>
    <t xml:space="preserve">16/21</t>
  </si>
  <si>
    <t xml:space="preserve">W+14</t>
  </si>
  <si>
    <t xml:space="preserve">Dark Sword</t>
  </si>
  <si>
    <t xml:space="preserve">15/19</t>
  </si>
  <si>
    <t xml:space="preserve">Hold Pattern</t>
  </si>
  <si>
    <t xml:space="preserve">14/23</t>
  </si>
  <si>
    <t xml:space="preserve">Onion Blood</t>
  </si>
  <si>
    <t xml:space="preserve">Burning Water</t>
  </si>
  <si>
    <t xml:space="preserve">15/25</t>
  </si>
  <si>
    <t xml:space="preserve">Creates flammable water</t>
  </si>
  <si>
    <t xml:space="preserve">PC 137</t>
  </si>
  <si>
    <t xml:space="preserve">Astral Materialization</t>
  </si>
  <si>
    <t xml:space="preserve">PC 136</t>
  </si>
  <si>
    <t xml:space="preserve">Disrupt Magic</t>
  </si>
  <si>
    <t xml:space="preserve">Weather Change</t>
  </si>
  <si>
    <t xml:space="preserve">10 miles</t>
  </si>
  <si>
    <t xml:space="preserve">R+10 hrs</t>
  </si>
  <si>
    <t xml:space="preserve">Mystic Vessel</t>
  </si>
  <si>
    <t xml:space="preserve">15/23</t>
  </si>
  <si>
    <t xml:space="preserve">Wood Blade</t>
  </si>
  <si>
    <t xml:space="preserve">22/28</t>
  </si>
  <si>
    <t xml:space="preserve">R+8 hrs</t>
  </si>
  <si>
    <t xml:space="preserve">Cold Embers</t>
  </si>
  <si>
    <t xml:space="preserve">18/25</t>
  </si>
  <si>
    <t xml:space="preserve">Extinguishes open flames</t>
  </si>
  <si>
    <t xml:space="preserve">Shift Skin</t>
  </si>
  <si>
    <t xml:space="preserve">17/18</t>
  </si>
  <si>
    <t xml:space="preserve">Spell Fusion</t>
  </si>
  <si>
    <t xml:space="preserve">6, TSD, 12*</t>
  </si>
  <si>
    <t xml:space="preserve">Alter Form</t>
  </si>
  <si>
    <t xml:space="preserve">Touch*</t>
  </si>
  <si>
    <t xml:space="preserve">Alters the nature and pattern of target</t>
  </si>
  <si>
    <t xml:space="preserve">Dragon's Breath</t>
  </si>
  <si>
    <t xml:space="preserve">1 rnd*</t>
  </si>
  <si>
    <t xml:space="preserve">Haunted House</t>
  </si>
  <si>
    <t xml:space="preserve">70 yds</t>
  </si>
  <si>
    <t xml:space="preserve">Silent Darkness</t>
  </si>
  <si>
    <t xml:space="preserve">Warp Astral Space</t>
  </si>
  <si>
    <t xml:space="preserve">17/23</t>
  </si>
  <si>
    <t xml:space="preserve">Warps astral space, -8 penalty to Spellcasting*</t>
  </si>
  <si>
    <t xml:space="preserve">PC 151</t>
  </si>
  <si>
    <t xml:space="preserve">Crop Blight</t>
  </si>
  <si>
    <t xml:space="preserve">Destroys plant life</t>
  </si>
  <si>
    <t xml:space="preserve">Fire Wall</t>
  </si>
  <si>
    <t xml:space="preserve">Restore Pattern</t>
  </si>
  <si>
    <t xml:space="preserve">20/31</t>
  </si>
  <si>
    <t xml:space="preserve">Talent Shredder</t>
  </si>
  <si>
    <t xml:space="preserve">17/19</t>
  </si>
  <si>
    <t xml:space="preserve">Block Magic</t>
  </si>
  <si>
    <t xml:space="preserve">16/25</t>
  </si>
  <si>
    <t xml:space="preserve">-10 penalty to magic-related Action Tests</t>
  </si>
  <si>
    <t xml:space="preserve">Council of the Forest</t>
  </si>
  <si>
    <t xml:space="preserve">9 (rit)*</t>
  </si>
  <si>
    <t xml:space="preserve">18/32</t>
  </si>
  <si>
    <t xml:space="preserve">Summons tree and plant spirits</t>
  </si>
  <si>
    <t xml:space="preserve">1 day</t>
  </si>
  <si>
    <t xml:space="preserve">Shadow Palace</t>
  </si>
  <si>
    <t xml:space="preserve">6 (rit)*</t>
  </si>
  <si>
    <t xml:space="preserve">21/32</t>
  </si>
  <si>
    <t xml:space="preserve">Void Wave</t>
  </si>
  <si>
    <t xml:space="preserve">Call Forth the Maelstrom</t>
  </si>
  <si>
    <t xml:space="preserve">25/33</t>
  </si>
  <si>
    <t xml:space="preserve">100 sq miles</t>
  </si>
  <si>
    <t xml:space="preserve">W/NA</t>
  </si>
  <si>
    <t xml:space="preserve">Walking Dead</t>
  </si>
  <si>
    <t xml:space="preserve">Cleanse Astral Space</t>
  </si>
  <si>
    <t xml:space="preserve">5 (rit)*</t>
  </si>
  <si>
    <t xml:space="preserve">20/28</t>
  </si>
  <si>
    <t xml:space="preserve">Purify Forest</t>
  </si>
  <si>
    <t xml:space="preserve">12 (rit)*</t>
  </si>
  <si>
    <t xml:space="preserve">28/33</t>
  </si>
  <si>
    <t xml:space="preserve">Cleanses astral space over forested areas</t>
  </si>
  <si>
    <t xml:space="preserve">Air Fortress</t>
  </si>
  <si>
    <t xml:space="preserve">Rx10 hrs</t>
  </si>
  <si>
    <t xml:space="preserve">Animate Dead</t>
  </si>
  <si>
    <t xml:space="preserve">Creates cadaver men</t>
  </si>
  <si>
    <t xml:space="preserve">City in a Bottle</t>
  </si>
  <si>
    <t xml:space="preserve">18/33</t>
  </si>
  <si>
    <t xml:space="preserve">25 miles</t>
  </si>
  <si>
    <t xml:space="preserve">Captures terrain and puts it in a bottle</t>
  </si>
  <si>
    <t xml:space="preserve">Earth and Air</t>
  </si>
  <si>
    <t xml:space="preserve">16/20</t>
  </si>
  <si>
    <t xml:space="preserve">Astral Slice</t>
  </si>
  <si>
    <t xml:space="preserve">13/26</t>
  </si>
  <si>
    <t xml:space="preserve">Elemental Merchant</t>
  </si>
  <si>
    <t xml:space="preserve">Fire and Water</t>
  </si>
  <si>
    <t xml:space="preserve">17/20</t>
  </si>
  <si>
    <t xml:space="preserve">Fragile Pattern</t>
  </si>
  <si>
    <t xml:space="preserve">PC 144</t>
  </si>
  <si>
    <t xml:space="preserve">Frozen Harbor</t>
  </si>
  <si>
    <t xml:space="preserve">16/29</t>
  </si>
  <si>
    <t xml:space="preserve">Freezes an expanse of water</t>
  </si>
  <si>
    <t xml:space="preserve">Gateway</t>
  </si>
  <si>
    <t xml:space="preserve">5000 miles</t>
  </si>
  <si>
    <t xml:space="preserve">Pertrify</t>
  </si>
  <si>
    <t xml:space="preserve">19/26</t>
  </si>
  <si>
    <t xml:space="preserve">Soul Trap</t>
  </si>
  <si>
    <t xml:space="preserve">Traps soul of the deceased</t>
  </si>
  <si>
    <t xml:space="preserve">Spirit Tempest</t>
  </si>
  <si>
    <t xml:space="preserve">Strong Pattern</t>
  </si>
  <si>
    <t xml:space="preserve">18/23</t>
  </si>
  <si>
    <t xml:space="preserve">Tap Horror Karma</t>
  </si>
  <si>
    <t xml:space="preserve">18/20</t>
  </si>
  <si>
    <t xml:space="preserve">2 rounds</t>
  </si>
  <si>
    <t xml:space="preserve">Alter Life</t>
  </si>
  <si>
    <t xml:space="preserve">Alters a life form's pattern</t>
  </si>
  <si>
    <t xml:space="preserve">Shatter Pattern</t>
  </si>
  <si>
    <t xml:space="preserve">TSD/23</t>
  </si>
  <si>
    <t xml:space="preserve">Unnatural Life</t>
  </si>
  <si>
    <t xml:space="preserve">7 (rit)*</t>
  </si>
  <si>
    <t xml:space="preserve">19/25</t>
  </si>
  <si>
    <t xml:space="preserve">Restores target to "unnatural" life</t>
  </si>
  <si>
    <t xml:space="preserve">R years</t>
  </si>
  <si>
    <t xml:space="preserve">Forge Falsemen</t>
  </si>
  <si>
    <t xml:space="preserve">20/29</t>
  </si>
  <si>
    <t xml:space="preserve">Creates falsemen</t>
  </si>
  <si>
    <t xml:space="preserve">Pervert Emotion</t>
  </si>
  <si>
    <t xml:space="preserve">23/29</t>
  </si>
  <si>
    <t xml:space="preserve">Twists target's thoughts and emotions</t>
  </si>
  <si>
    <t xml:space="preserve">Erase Horror Mark</t>
  </si>
  <si>
    <t xml:space="preserve">17/22</t>
  </si>
  <si>
    <t xml:space="preserve">HSD*</t>
  </si>
  <si>
    <t xml:space="preserve">Removes Horror mark</t>
  </si>
  <si>
    <t xml:space="preserve">Eternal Youth</t>
  </si>
  <si>
    <t xml:space="preserve">17/31</t>
  </si>
  <si>
    <t xml:space="preserve">Temporarily stops the magician aging</t>
  </si>
  <si>
    <t xml:space="preserve">Call Forth the Army of Decay</t>
  </si>
  <si>
    <t xml:space="preserve">21/29</t>
  </si>
  <si>
    <t xml:space="preserve">5 mile radius</t>
  </si>
  <si>
    <t xml:space="preserve">Summons an army of cadaver men</t>
  </si>
</sst>
</file>

<file path=xl/styles.xml><?xml version="1.0" encoding="utf-8"?>
<styleSheet xmlns="http://schemas.openxmlformats.org/spreadsheetml/2006/main">
  <numFmts count="7">
    <numFmt numFmtId="164" formatCode="General"/>
    <numFmt numFmtId="165" formatCode="0"/>
    <numFmt numFmtId="166" formatCode="@"/>
    <numFmt numFmtId="167" formatCode="YYYY\-MM\-DD"/>
    <numFmt numFmtId="168" formatCode="0.0"/>
    <numFmt numFmtId="169" formatCode="_(\$* #,##0.00_);_(\$* \(#,##0.00\);_(\$* \-??_);_(@_)"/>
    <numFmt numFmtId="170" formatCode="DD\-MMM"/>
  </numFmts>
  <fonts count="47">
    <font>
      <sz val="10"/>
      <name val="Times New Roman"/>
      <family val="1"/>
      <charset val="1"/>
    </font>
    <font>
      <sz val="10"/>
      <name val="Arial"/>
      <family val="0"/>
      <charset val="238"/>
    </font>
    <font>
      <sz val="10"/>
      <name val="Arial"/>
      <family val="0"/>
      <charset val="238"/>
    </font>
    <font>
      <sz val="10"/>
      <name val="Arial"/>
      <family val="0"/>
      <charset val="238"/>
    </font>
    <font>
      <b val="true"/>
      <sz val="18"/>
      <name val="Times New Roman"/>
      <family val="1"/>
      <charset val="1"/>
    </font>
    <font>
      <i val="true"/>
      <sz val="10"/>
      <name val="Times New Roman"/>
      <family val="1"/>
      <charset val="1"/>
    </font>
    <font>
      <b val="true"/>
      <sz val="14"/>
      <color rgb="FFFF0000"/>
      <name val="Times New Roman"/>
      <family val="1"/>
      <charset val="1"/>
    </font>
    <font>
      <i val="true"/>
      <sz val="12"/>
      <name val="Times New Roman"/>
      <family val="1"/>
      <charset val="1"/>
    </font>
    <font>
      <b val="true"/>
      <u val="single"/>
      <sz val="12"/>
      <name val="Times New Roman"/>
      <family val="1"/>
      <charset val="1"/>
    </font>
    <font>
      <b val="true"/>
      <u val="single"/>
      <vertAlign val="superscript"/>
      <sz val="12"/>
      <name val="Times New Roman"/>
      <family val="1"/>
      <charset val="1"/>
    </font>
    <font>
      <b val="true"/>
      <sz val="12"/>
      <name val="Times New Roman"/>
      <family val="1"/>
      <charset val="1"/>
    </font>
    <font>
      <u val="single"/>
      <sz val="10"/>
      <color rgb="FF0000FF"/>
      <name val="Times New Roman"/>
      <family val="1"/>
      <charset val="1"/>
    </font>
    <font>
      <u val="single"/>
      <sz val="14"/>
      <name val="Times New Roman"/>
      <family val="1"/>
      <charset val="1"/>
    </font>
    <font>
      <sz val="12"/>
      <name val="Times New Roman"/>
      <family val="1"/>
      <charset val="1"/>
    </font>
    <font>
      <vertAlign val="superscript"/>
      <sz val="12"/>
      <name val="Times New Roman"/>
      <family val="1"/>
      <charset val="1"/>
    </font>
    <font>
      <sz val="12"/>
      <color rgb="FF3366FF"/>
      <name val="Times New Roman"/>
      <family val="1"/>
      <charset val="1"/>
    </font>
    <font>
      <sz val="12"/>
      <name val="Symbol"/>
      <family val="1"/>
      <charset val="2"/>
    </font>
    <font>
      <sz val="7"/>
      <name val="Times New Roman"/>
      <family val="1"/>
      <charset val="1"/>
    </font>
    <font>
      <b val="true"/>
      <sz val="12"/>
      <color rgb="FFFF0000"/>
      <name val="Times New Roman"/>
      <family val="1"/>
      <charset val="1"/>
    </font>
    <font>
      <sz val="12"/>
      <color rgb="FFFF0000"/>
      <name val="Times New Roman"/>
      <family val="1"/>
      <charset val="1"/>
    </font>
    <font>
      <i val="true"/>
      <sz val="12"/>
      <color rgb="FFFF0000"/>
      <name val="Times New Roman"/>
      <family val="1"/>
      <charset val="1"/>
    </font>
    <font>
      <sz val="8"/>
      <name val="Times New Roman"/>
      <family val="1"/>
      <charset val="1"/>
    </font>
    <font>
      <sz val="10"/>
      <color rgb="FFFF0000"/>
      <name val="Times New Roman"/>
      <family val="1"/>
      <charset val="1"/>
    </font>
    <font>
      <sz val="14"/>
      <color rgb="FFFF0000"/>
      <name val="Times New Roman"/>
      <family val="1"/>
      <charset val="1"/>
    </font>
    <font>
      <b val="true"/>
      <sz val="10"/>
      <name val="Times New Roman"/>
      <family val="1"/>
      <charset val="1"/>
    </font>
    <font>
      <sz val="10"/>
      <color rgb="FFFFFFFF"/>
      <name val="Times New Roman"/>
      <family val="1"/>
      <charset val="1"/>
    </font>
    <font>
      <sz val="9"/>
      <name val="Times New Roman"/>
      <family val="1"/>
      <charset val="1"/>
    </font>
    <font>
      <b val="true"/>
      <sz val="9"/>
      <name val="Times New Roman"/>
      <family val="1"/>
      <charset val="1"/>
    </font>
    <font>
      <sz val="28"/>
      <name val="Dauphin"/>
      <family val="0"/>
      <charset val="1"/>
    </font>
    <font>
      <sz val="26"/>
      <name val="Arial"/>
      <family val="2"/>
      <charset val="1"/>
    </font>
    <font>
      <b val="true"/>
      <sz val="7"/>
      <color rgb="FFFFFFFF"/>
      <name val="Arial"/>
      <family val="2"/>
      <charset val="1"/>
    </font>
    <font>
      <sz val="7"/>
      <name val="Arial"/>
      <family val="2"/>
      <charset val="1"/>
    </font>
    <font>
      <sz val="10"/>
      <name val="Arial"/>
      <family val="2"/>
      <charset val="1"/>
    </font>
    <font>
      <sz val="6"/>
      <name val="Arial"/>
      <family val="2"/>
      <charset val="1"/>
    </font>
    <font>
      <sz val="5"/>
      <name val="Arial"/>
      <family val="2"/>
      <charset val="1"/>
    </font>
    <font>
      <sz val="7"/>
      <name val="Arial"/>
      <family val="2"/>
      <charset val="238"/>
    </font>
    <font>
      <sz val="7"/>
      <color rgb="FF000000"/>
      <name val="Arial"/>
      <family val="2"/>
      <charset val="1"/>
    </font>
    <font>
      <b val="true"/>
      <sz val="5"/>
      <name val="Arial"/>
      <family val="2"/>
      <charset val="1"/>
    </font>
    <font>
      <b val="true"/>
      <sz val="7"/>
      <name val="Arial"/>
      <family val="2"/>
      <charset val="1"/>
    </font>
    <font>
      <sz val="26"/>
      <name val="Dauphin"/>
      <family val="2"/>
      <charset val="1"/>
    </font>
    <font>
      <sz val="10"/>
      <name val="Dauphin"/>
      <family val="2"/>
      <charset val="1"/>
    </font>
    <font>
      <b val="true"/>
      <sz val="6"/>
      <name val="Arial"/>
      <family val="2"/>
      <charset val="1"/>
    </font>
    <font>
      <sz val="10"/>
      <color rgb="FF000000"/>
      <name val="Times New Roman"/>
      <family val="0"/>
      <charset val="238"/>
    </font>
    <font>
      <sz val="4"/>
      <name val="Arial"/>
      <family val="2"/>
      <charset val="1"/>
    </font>
    <font>
      <sz val="10"/>
      <color rgb="FF000000"/>
      <name val="Times New Roman"/>
      <family val="1"/>
      <charset val="1"/>
    </font>
    <font>
      <b val="true"/>
      <sz val="10"/>
      <name val="Arial"/>
      <family val="2"/>
      <charset val="1"/>
    </font>
    <font>
      <b val="true"/>
      <sz val="10"/>
      <color rgb="FFFFFFFF"/>
      <name val="Times New Roman"/>
      <family val="1"/>
      <charset val="1"/>
    </font>
  </fonts>
  <fills count="12">
    <fill>
      <patternFill patternType="none"/>
    </fill>
    <fill>
      <patternFill patternType="gray125"/>
    </fill>
    <fill>
      <patternFill patternType="solid">
        <fgColor rgb="FFFFFF99"/>
        <bgColor rgb="FFFFFFCC"/>
      </patternFill>
    </fill>
    <fill>
      <patternFill patternType="solid">
        <fgColor rgb="FFA6CAF0"/>
        <bgColor rgb="FFC0C0C0"/>
      </patternFill>
    </fill>
    <fill>
      <patternFill patternType="solid">
        <fgColor rgb="FFFF0000"/>
        <bgColor rgb="FF993300"/>
      </patternFill>
    </fill>
    <fill>
      <patternFill patternType="solid">
        <fgColor rgb="FFC0C0C0"/>
        <bgColor rgb="FFCCCCCC"/>
      </patternFill>
    </fill>
    <fill>
      <patternFill patternType="solid">
        <fgColor rgb="FF00CC00"/>
        <bgColor rgb="FF008000"/>
      </patternFill>
    </fill>
    <fill>
      <patternFill patternType="solid">
        <fgColor rgb="FFCCCCCC"/>
        <bgColor rgb="FFC0C0C0"/>
      </patternFill>
    </fill>
    <fill>
      <patternFill patternType="solid">
        <fgColor rgb="FFDDDDDD"/>
        <bgColor rgb="FFCCCCCC"/>
      </patternFill>
    </fill>
    <fill>
      <patternFill patternType="solid">
        <fgColor rgb="FFFFFF00"/>
        <bgColor rgb="FFFFFF00"/>
      </patternFill>
    </fill>
    <fill>
      <patternFill patternType="solid">
        <fgColor rgb="FF969696"/>
        <bgColor rgb="FF808080"/>
      </patternFill>
    </fill>
    <fill>
      <patternFill patternType="solid">
        <fgColor rgb="FF000000"/>
        <bgColor rgb="FF003300"/>
      </patternFill>
    </fill>
  </fills>
  <borders count="124">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top style="medium"/>
      <bottom/>
      <diagonal/>
    </border>
    <border diagonalUp="false" diagonalDown="false">
      <left/>
      <right/>
      <top style="medium"/>
      <bottom/>
      <diagonal/>
    </border>
    <border diagonalUp="false" diagonalDown="false">
      <left style="thin"/>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bottom/>
      <diagonal/>
    </border>
    <border diagonalUp="false" diagonalDown="false">
      <left/>
      <right/>
      <top style="thin"/>
      <bottom/>
      <diagonal/>
    </border>
    <border diagonalUp="false" diagonalDown="false">
      <left style="medium"/>
      <right/>
      <top style="thin"/>
      <bottom style="thick"/>
      <diagonal/>
    </border>
    <border diagonalUp="false" diagonalDown="false">
      <left/>
      <right/>
      <top style="thin"/>
      <bottom style="thick"/>
      <diagonal/>
    </border>
    <border diagonalUp="false" diagonalDown="false">
      <left/>
      <right style="medium"/>
      <top style="thin"/>
      <bottom style="thick"/>
      <diagonal/>
    </border>
    <border diagonalUp="false" diagonalDown="false">
      <left/>
      <right style="medium"/>
      <top/>
      <bottom/>
      <diagonal/>
    </border>
    <border diagonalUp="false" diagonalDown="false">
      <left style="medium"/>
      <right/>
      <top style="thin"/>
      <bottom/>
      <diagonal/>
    </border>
    <border diagonalUp="false" diagonalDown="false">
      <left/>
      <right style="medium"/>
      <top style="thin"/>
      <bottom style="medium"/>
      <diagonal/>
    </border>
    <border diagonalUp="false" diagonalDown="false">
      <left style="medium"/>
      <right/>
      <top/>
      <bottom style="medium"/>
      <diagonal/>
    </border>
    <border diagonalUp="false" diagonalDown="false">
      <left/>
      <right/>
      <top/>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medium"/>
      <right/>
      <top/>
      <bottom style="thin"/>
      <diagonal/>
    </border>
    <border diagonalUp="false" diagonalDown="false">
      <left/>
      <right style="medium"/>
      <top style="thin"/>
      <bottom/>
      <diagonal/>
    </border>
    <border diagonalUp="false" diagonalDown="false">
      <left style="thick"/>
      <right style="thin"/>
      <top style="thick"/>
      <bottom style="thin"/>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style="thick"/>
      <right style="thin"/>
      <top style="thin"/>
      <bottom style="thin"/>
      <diagonal/>
    </border>
    <border diagonalUp="false" diagonalDown="false">
      <left style="thin"/>
      <right style="thin"/>
      <top style="thin"/>
      <bottom style="thin"/>
      <diagonal/>
    </border>
    <border diagonalUp="false" diagonalDown="false">
      <left style="thin"/>
      <right style="thick"/>
      <top style="thin"/>
      <bottom style="thin"/>
      <diagonal/>
    </border>
    <border diagonalUp="false" diagonalDown="false">
      <left style="medium"/>
      <right style="medium"/>
      <top/>
      <bottom style="medium"/>
      <diagonal/>
    </border>
    <border diagonalUp="false" diagonalDown="false">
      <left style="medium"/>
      <right style="medium"/>
      <top style="medium"/>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bottom style="thin"/>
      <diagonal/>
    </border>
    <border diagonalUp="false" diagonalDown="false">
      <left style="thin"/>
      <right style="thin"/>
      <top style="thin"/>
      <bottom style="medium"/>
      <diagonal/>
    </border>
    <border diagonalUp="false" diagonalDown="false">
      <left style="thin"/>
      <right style="medium"/>
      <top/>
      <bottom style="medium"/>
      <diagonal/>
    </border>
    <border diagonalUp="false" diagonalDown="false">
      <left style="thin"/>
      <right/>
      <top style="thin"/>
      <bottom style="medium"/>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medium"/>
      <right style="thin"/>
      <top/>
      <bottom style="medium"/>
      <diagonal/>
    </border>
    <border diagonalUp="false" diagonalDown="false">
      <left/>
      <right style="thin"/>
      <top style="thin"/>
      <bottom style="medium"/>
      <diagonal/>
    </border>
    <border diagonalUp="false" diagonalDown="false">
      <left/>
      <right style="thin"/>
      <top/>
      <bottom style="medium"/>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ck"/>
      <right style="thick"/>
      <top style="thick"/>
      <bottom/>
      <diagonal/>
    </border>
    <border diagonalUp="false" diagonalDown="false">
      <left style="thick"/>
      <right/>
      <top style="thin"/>
      <bottom style="thin"/>
      <diagonal/>
    </border>
    <border diagonalUp="false" diagonalDown="false">
      <left/>
      <right style="thick"/>
      <top style="thin"/>
      <bottom style="thin"/>
      <diagonal/>
    </border>
    <border diagonalUp="false" diagonalDown="false">
      <left style="thick"/>
      <right/>
      <top/>
      <bottom style="thin"/>
      <diagonal/>
    </border>
    <border diagonalUp="false" diagonalDown="false">
      <left/>
      <right style="thick"/>
      <top/>
      <bottom/>
      <diagonal/>
    </border>
    <border diagonalUp="false" diagonalDown="false">
      <left style="thick"/>
      <right style="thick"/>
      <top/>
      <bottom/>
      <diagonal/>
    </border>
    <border diagonalUp="false" diagonalDown="false">
      <left style="medium"/>
      <right style="thick"/>
      <top style="thin"/>
      <bottom style="thin"/>
      <diagonal/>
    </border>
    <border diagonalUp="false" diagonalDown="false">
      <left style="medium"/>
      <right style="thin"/>
      <top/>
      <bottom style="thin"/>
      <diagonal/>
    </border>
    <border diagonalUp="false" diagonalDown="false">
      <left style="thin"/>
      <right style="thick"/>
      <top/>
      <bottom style="thin"/>
      <diagonal/>
    </border>
    <border diagonalUp="false" diagonalDown="false">
      <left style="thick"/>
      <right style="thin"/>
      <top style="thin"/>
      <bottom style="thick"/>
      <diagonal/>
    </border>
    <border diagonalUp="false" diagonalDown="false">
      <left style="medium"/>
      <right style="thin"/>
      <top style="thin"/>
      <bottom style="thick"/>
      <diagonal/>
    </border>
    <border diagonalUp="false" diagonalDown="false">
      <left style="thin"/>
      <right style="thin"/>
      <top style="thin"/>
      <bottom style="thick"/>
      <diagonal/>
    </border>
    <border diagonalUp="false" diagonalDown="false">
      <left style="thin"/>
      <right style="thick"/>
      <top style="thin"/>
      <bottom style="thick"/>
      <diagonal/>
    </border>
    <border diagonalUp="false" diagonalDown="false">
      <left style="thick"/>
      <right style="medium"/>
      <top style="thick"/>
      <bottom style="thin"/>
      <diagonal/>
    </border>
    <border diagonalUp="false" diagonalDown="false">
      <left style="medium"/>
      <right style="medium"/>
      <top style="thick"/>
      <bottom style="thin"/>
      <diagonal/>
    </border>
    <border diagonalUp="false" diagonalDown="false">
      <left style="thick"/>
      <right style="medium"/>
      <top style="thin"/>
      <bottom style="dotted"/>
      <diagonal/>
    </border>
    <border diagonalUp="false" diagonalDown="false">
      <left style="medium"/>
      <right style="thick"/>
      <top/>
      <bottom/>
      <diagonal/>
    </border>
    <border diagonalUp="false" diagonalDown="false">
      <left style="thick"/>
      <right style="medium"/>
      <top style="dotted"/>
      <bottom style="thin"/>
      <diagonal/>
    </border>
    <border diagonalUp="false" diagonalDown="false">
      <left style="thick"/>
      <right style="medium"/>
      <top style="thin"/>
      <bottom style="thin"/>
      <diagonal/>
    </border>
    <border diagonalUp="false" diagonalDown="false">
      <left style="thin"/>
      <right style="thick"/>
      <top/>
      <bottom/>
      <diagonal/>
    </border>
    <border diagonalUp="false" diagonalDown="false">
      <left style="medium"/>
      <right style="thick"/>
      <top/>
      <bottom style="thin"/>
      <diagonal/>
    </border>
    <border diagonalUp="false" diagonalDown="false">
      <left style="thick"/>
      <right/>
      <top/>
      <bottom/>
      <diagonal/>
    </border>
    <border diagonalUp="false" diagonalDown="false">
      <left/>
      <right style="thick"/>
      <top/>
      <bottom style="thin"/>
      <diagonal/>
    </border>
    <border diagonalUp="false" diagonalDown="false">
      <left style="thick"/>
      <right/>
      <top style="thin"/>
      <bottom/>
      <diagonal/>
    </border>
    <border diagonalUp="false" diagonalDown="false">
      <left style="thick"/>
      <right/>
      <top style="thin"/>
      <bottom style="medium"/>
      <diagonal/>
    </border>
    <border diagonalUp="false" diagonalDown="false">
      <left style="thin"/>
      <right style="medium"/>
      <top style="thin"/>
      <bottom style="medium"/>
      <diagonal/>
    </border>
    <border diagonalUp="false" diagonalDown="false">
      <left style="thick"/>
      <right/>
      <top style="medium"/>
      <bottom style="medium"/>
      <diagonal/>
    </border>
    <border diagonalUp="false" diagonalDown="false">
      <left style="thick"/>
      <right style="medium"/>
      <top/>
      <bottom style="thin"/>
      <diagonal/>
    </border>
    <border diagonalUp="false" diagonalDown="false">
      <left style="thick"/>
      <right style="thick"/>
      <top style="thin"/>
      <bottom style="thin"/>
      <diagonal/>
    </border>
    <border diagonalUp="false" diagonalDown="false">
      <left style="medium"/>
      <right style="medium"/>
      <top/>
      <bottom style="thin"/>
      <diagonal/>
    </border>
    <border diagonalUp="false" diagonalDown="false">
      <left style="thin"/>
      <right style="thin"/>
      <top/>
      <bottom style="medium"/>
      <diagonal/>
    </border>
    <border diagonalUp="false" diagonalDown="false">
      <left style="thick"/>
      <right style="thin"/>
      <top/>
      <bottom style="thin"/>
      <diagonal/>
    </border>
    <border diagonalUp="false" diagonalDown="false">
      <left style="medium"/>
      <right style="thin"/>
      <top/>
      <bottom/>
      <diagonal/>
    </border>
    <border diagonalUp="false" diagonalDown="false">
      <left style="thin"/>
      <right style="medium"/>
      <top/>
      <bottom/>
      <diagonal/>
    </border>
    <border diagonalUp="false" diagonalDown="false">
      <left style="medium"/>
      <right style="dotted">
        <color rgb="FFC0C0C0"/>
      </right>
      <top style="thin"/>
      <bottom style="thin"/>
      <diagonal/>
    </border>
    <border diagonalUp="false" diagonalDown="false">
      <left/>
      <right style="dotted">
        <color rgb="FFC0C0C0"/>
      </right>
      <top/>
      <bottom style="thin"/>
      <diagonal/>
    </border>
    <border diagonalUp="false" diagonalDown="false">
      <left style="medium"/>
      <right style="dotted">
        <color rgb="FFC0C0C0"/>
      </right>
      <top/>
      <bottom style="thin"/>
      <diagonal/>
    </border>
    <border diagonalUp="false" diagonalDown="false">
      <left/>
      <right style="dotted">
        <color rgb="FFC0C0C0"/>
      </right>
      <top style="thin"/>
      <bottom style="medium"/>
      <diagonal/>
    </border>
    <border diagonalUp="false" diagonalDown="false">
      <left style="thin"/>
      <right style="dotted">
        <color rgb="FFC0C0C0"/>
      </right>
      <top/>
      <bottom style="thin"/>
      <diagonal/>
    </border>
    <border diagonalUp="false" diagonalDown="false">
      <left/>
      <right style="dotted">
        <color rgb="FFC0C0C0"/>
      </right>
      <top/>
      <bottom style="medium"/>
      <diagonal/>
    </border>
    <border diagonalUp="false" diagonalDown="false">
      <left style="thin"/>
      <right style="dotted">
        <color rgb="FFC0C0C0"/>
      </right>
      <top style="thin"/>
      <bottom style="thin"/>
      <diagonal/>
    </border>
    <border diagonalUp="false" diagonalDown="false">
      <left/>
      <right style="dotted">
        <color rgb="FFC0C0C0"/>
      </right>
      <top style="thin"/>
      <bottom style="thin"/>
      <diagonal/>
    </border>
    <border diagonalUp="false" diagonalDown="false">
      <left style="dotted">
        <color rgb="FFC0C0C0"/>
      </left>
      <right style="thin"/>
      <top style="thin"/>
      <bottom style="thin"/>
      <diagonal/>
    </border>
    <border diagonalUp="false" diagonalDown="false">
      <left style="medium"/>
      <right style="medium"/>
      <top style="thin"/>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ck"/>
      <right/>
      <top style="thin"/>
      <bottom style="dotted">
        <color rgb="FF969696"/>
      </bottom>
      <diagonal/>
    </border>
    <border diagonalUp="false" diagonalDown="false">
      <left style="thick"/>
      <right/>
      <top style="dotted">
        <color rgb="FF969696"/>
      </top>
      <bottom style="dotted">
        <color rgb="FF969696"/>
      </bottom>
      <diagonal/>
    </border>
    <border diagonalUp="false" diagonalDown="false">
      <left style="thick"/>
      <right style="medium"/>
      <top style="dotted">
        <color rgb="FF969696"/>
      </top>
      <bottom/>
      <diagonal/>
    </border>
    <border diagonalUp="false" diagonalDown="false">
      <left style="thick"/>
      <right style="medium"/>
      <top style="dotted">
        <color rgb="FF969696"/>
      </top>
      <bottom style="thin"/>
      <diagonal/>
    </border>
    <border diagonalUp="false" diagonalDown="false">
      <left style="thick"/>
      <right style="thin"/>
      <top/>
      <bottom/>
      <diagonal/>
    </border>
    <border diagonalUp="false" diagonalDown="false">
      <left style="thin"/>
      <right style="medium"/>
      <top style="thin"/>
      <bottom style="thick"/>
      <diagonal/>
    </border>
    <border diagonalUp="false" diagonalDown="false">
      <left/>
      <right style="thin"/>
      <top style="thin"/>
      <bottom style="thick"/>
      <diagonal/>
    </border>
    <border diagonalUp="false" diagonalDown="false">
      <left style="thick"/>
      <right/>
      <top style="dotted">
        <color rgb="FF969696"/>
      </top>
      <bottom style="thin"/>
      <diagonal/>
    </border>
    <border diagonalUp="false" diagonalDown="false">
      <left style="thin"/>
      <right/>
      <top style="dotted"/>
      <bottom/>
      <diagonal/>
    </border>
    <border diagonalUp="false" diagonalDown="false">
      <left style="thin"/>
      <right style="thin"/>
      <top style="dotted"/>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cellStyleXfs>
  <cellXfs count="7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7" fillId="3"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1" fillId="0" borderId="0" xfId="20" applyFont="true" applyBorder="true" applyAlignment="true" applyProtection="true">
      <alignment horizontal="left" vertical="top" textRotation="0" wrapText="true" indent="0" shrinkToFit="false"/>
      <protection locked="true" hidden="false"/>
    </xf>
    <xf numFmtId="164" fontId="11" fillId="0" borderId="0" xfId="20" applyFont="false" applyBorder="true" applyAlignment="true" applyProtection="true">
      <alignment horizontal="left"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4" fontId="18"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8" fillId="2" borderId="7" xfId="0" applyFont="true" applyBorder="true" applyAlignment="true" applyProtection="false">
      <alignment horizontal="center" vertical="center" textRotation="0" wrapText="false" indent="0" shrinkToFit="false"/>
      <protection locked="true" hidden="false"/>
    </xf>
    <xf numFmtId="164" fontId="8" fillId="4" borderId="8"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24" fillId="3" borderId="1" xfId="0" applyFont="true" applyBorder="true" applyAlignment="true" applyProtection="false">
      <alignment horizontal="center" vertical="bottom" textRotation="0" wrapText="false" indent="0" shrinkToFit="false"/>
      <protection locked="true" hidden="false"/>
    </xf>
    <xf numFmtId="164" fontId="24" fillId="3" borderId="9" xfId="0" applyFont="true" applyBorder="true" applyAlignment="true" applyProtection="false">
      <alignment horizontal="general" vertical="bottom" textRotation="0" wrapText="false" indent="0" shrinkToFit="false"/>
      <protection locked="true" hidden="false"/>
    </xf>
    <xf numFmtId="164" fontId="24" fillId="3" borderId="9" xfId="0" applyFont="true" applyBorder="true" applyAlignment="true" applyProtection="false">
      <alignment horizontal="center"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5" borderId="1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0" fillId="5" borderId="11" xfId="0" applyFont="true" applyBorder="true" applyAlignment="true" applyProtection="false">
      <alignment horizontal="center" vertical="center" textRotation="0" wrapText="false" indent="0" shrinkToFit="false"/>
      <protection locked="true" hidden="false"/>
    </xf>
    <xf numFmtId="164" fontId="10" fillId="5" borderId="9" xfId="0" applyFont="true" applyBorder="true" applyAlignment="true" applyProtection="false">
      <alignment horizontal="center" vertical="center" textRotation="0" wrapText="false" indent="0" shrinkToFit="false"/>
      <protection locked="true" hidden="false"/>
    </xf>
    <xf numFmtId="164" fontId="24" fillId="3" borderId="10" xfId="0" applyFont="true" applyBorder="true" applyAlignment="true" applyProtection="false">
      <alignment horizontal="center" vertical="bottom" textRotation="0" wrapText="false" indent="0" shrinkToFit="false"/>
      <protection locked="true" hidden="false"/>
    </xf>
    <xf numFmtId="164" fontId="24" fillId="5" borderId="9"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bottom" textRotation="0" wrapText="false" indent="0" shrinkToFit="false"/>
      <protection locked="true" hidden="false"/>
    </xf>
    <xf numFmtId="164" fontId="24" fillId="3" borderId="12"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false" applyProtection="false">
      <alignment horizontal="general" vertical="bottom" textRotation="0" wrapText="false" indent="0" shrinkToFit="false"/>
      <protection locked="true" hidden="false"/>
    </xf>
    <xf numFmtId="164" fontId="0" fillId="3" borderId="14"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4" fillId="3" borderId="13"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center" vertical="bottom" textRotation="0" wrapText="false" indent="0" shrinkToFit="false"/>
      <protection locked="true" hidden="false"/>
    </xf>
    <xf numFmtId="164" fontId="0" fillId="3" borderId="14" xfId="0" applyFont="true" applyBorder="true" applyAlignment="true" applyProtection="false">
      <alignment horizontal="center" vertical="bottom" textRotation="0" wrapText="false" indent="0" shrinkToFit="false"/>
      <protection locked="true" hidden="false"/>
    </xf>
    <xf numFmtId="164" fontId="0" fillId="2" borderId="17"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3" borderId="15" xfId="0" applyFont="true" applyBorder="true" applyAlignment="false" applyProtection="false">
      <alignment horizontal="general" vertical="bottom" textRotation="0" wrapText="false" indent="0" shrinkToFit="false"/>
      <protection locked="true" hidden="false"/>
    </xf>
    <xf numFmtId="165"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false" applyProtection="false">
      <alignment horizontal="general" vertical="bottom" textRotation="0" wrapText="false" indent="0" shrinkToFit="false"/>
      <protection locked="true" hidden="false"/>
    </xf>
    <xf numFmtId="164" fontId="0" fillId="5" borderId="17" xfId="0" applyFont="true" applyBorder="true" applyAlignment="false" applyProtection="false">
      <alignment horizontal="general" vertical="bottom" textRotation="0" wrapText="false" indent="0" shrinkToFit="false"/>
      <protection locked="true" hidden="false"/>
    </xf>
    <xf numFmtId="164" fontId="0" fillId="2" borderId="16" xfId="0" applyFont="true" applyBorder="true" applyAlignment="false" applyProtection="false">
      <alignment horizontal="general" vertical="bottom" textRotation="0" wrapText="false" indent="0" shrinkToFit="false"/>
      <protection locked="true" hidden="false"/>
    </xf>
    <xf numFmtId="164" fontId="25" fillId="0" borderId="18"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right" vertical="bottom" textRotation="0" wrapText="false" indent="0" shrinkToFit="false"/>
      <protection locked="true" hidden="false"/>
    </xf>
    <xf numFmtId="164" fontId="0" fillId="3" borderId="19" xfId="0" applyFont="true" applyBorder="true" applyAlignment="true" applyProtection="false">
      <alignment horizontal="left" vertical="bottom" textRotation="0" wrapText="false" indent="0" shrinkToFit="false"/>
      <protection locked="true" hidden="false"/>
    </xf>
    <xf numFmtId="164" fontId="0" fillId="3" borderId="20" xfId="0" applyFont="true" applyBorder="true" applyAlignment="true" applyProtection="false">
      <alignment horizontal="left" vertical="bottom" textRotation="0" wrapText="false" indent="0" shrinkToFit="false"/>
      <protection locked="true" hidden="false"/>
    </xf>
    <xf numFmtId="164" fontId="0" fillId="2" borderId="21" xfId="0" applyFont="true" applyBorder="true" applyAlignment="true" applyProtection="false">
      <alignment horizontal="center" vertical="bottom" textRotation="0" wrapText="false" indent="0" shrinkToFit="false"/>
      <protection locked="true" hidden="false"/>
    </xf>
    <xf numFmtId="164" fontId="0" fillId="5" borderId="21" xfId="0" applyFont="true" applyBorder="true" applyAlignment="false" applyProtection="false">
      <alignment horizontal="general" vertical="bottom" textRotation="0" wrapText="false" indent="0" shrinkToFit="false"/>
      <protection locked="true" hidden="false"/>
    </xf>
    <xf numFmtId="164" fontId="0" fillId="5" borderId="22" xfId="0" applyFont="true" applyBorder="true" applyAlignment="false" applyProtection="false">
      <alignment horizontal="general" vertical="bottom" textRotation="0" wrapText="false" indent="0" shrinkToFit="false"/>
      <protection locked="true" hidden="false"/>
    </xf>
    <xf numFmtId="164" fontId="24" fillId="3" borderId="7"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0" fillId="6" borderId="23" xfId="0" applyFont="true" applyBorder="true" applyAlignment="true" applyProtection="false">
      <alignment horizontal="center" vertical="bottom" textRotation="0" wrapText="false" indent="0" shrinkToFit="false"/>
      <protection locked="true" hidden="false"/>
    </xf>
    <xf numFmtId="164" fontId="0" fillId="3" borderId="24" xfId="0" applyFont="true" applyBorder="true" applyAlignment="true" applyProtection="false">
      <alignment horizontal="left" vertical="bottom" textRotation="0" wrapText="false" indent="0" shrinkToFit="false"/>
      <protection locked="true" hidden="false"/>
    </xf>
    <xf numFmtId="164" fontId="0" fillId="3" borderId="1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left" vertical="top" textRotation="0" wrapText="true" indent="0" shrinkToFit="false"/>
      <protection locked="true" hidden="false"/>
    </xf>
    <xf numFmtId="164" fontId="0" fillId="3"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center" vertical="bottom" textRotation="0" wrapText="false" indent="0" shrinkToFit="false"/>
      <protection locked="true" hidden="false"/>
    </xf>
    <xf numFmtId="164" fontId="24" fillId="3"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3" borderId="7" xfId="0" applyFont="true" applyBorder="true" applyAlignment="false" applyProtection="false">
      <alignment horizontal="general" vertical="bottom" textRotation="0" wrapText="false" indent="0" shrinkToFit="false"/>
      <protection locked="true" hidden="false"/>
    </xf>
    <xf numFmtId="165" fontId="0" fillId="2" borderId="16" xfId="0" applyFont="true" applyBorder="true" applyAlignment="true" applyProtection="false">
      <alignment horizontal="center" vertical="bottom" textRotation="0" wrapText="false" indent="0" shrinkToFit="false"/>
      <protection locked="true" hidden="false"/>
    </xf>
    <xf numFmtId="164" fontId="0" fillId="3" borderId="26" xfId="0" applyFont="true" applyBorder="true" applyAlignment="false" applyProtection="false">
      <alignment horizontal="general" vertical="bottom" textRotation="0" wrapText="false" indent="0" shrinkToFit="false"/>
      <protection locked="true" hidden="false"/>
    </xf>
    <xf numFmtId="164" fontId="0" fillId="3" borderId="27" xfId="0" applyFont="true" applyBorder="true" applyAlignment="false" applyProtection="false">
      <alignment horizontal="general" vertical="bottom" textRotation="0" wrapText="false" indent="0" shrinkToFit="false"/>
      <protection locked="true" hidden="false"/>
    </xf>
    <xf numFmtId="164" fontId="0" fillId="5" borderId="28"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center" vertical="bottom" textRotation="0" wrapText="false" indent="0" shrinkToFit="false"/>
      <protection locked="true" hidden="false"/>
    </xf>
    <xf numFmtId="164" fontId="0" fillId="5" borderId="25" xfId="0" applyFont="true" applyBorder="true" applyAlignment="false" applyProtection="false">
      <alignment horizontal="general" vertical="bottom" textRotation="0" wrapText="false" indent="0" shrinkToFit="false"/>
      <protection locked="true" hidden="false"/>
    </xf>
    <xf numFmtId="164" fontId="24" fillId="3" borderId="26" xfId="0" applyFont="true" applyBorder="true" applyAlignment="false" applyProtection="false">
      <alignment horizontal="general" vertical="bottom" textRotation="0" wrapText="false" indent="0" shrinkToFit="false"/>
      <protection locked="true" hidden="false"/>
    </xf>
    <xf numFmtId="165" fontId="0" fillId="5" borderId="30"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false" applyProtection="false">
      <alignment horizontal="general" vertical="bottom" textRotation="0" wrapText="false" indent="0" shrinkToFit="false"/>
      <protection locked="true" hidden="false"/>
    </xf>
    <xf numFmtId="164" fontId="0" fillId="3" borderId="29" xfId="0" applyFont="true" applyBorder="true" applyAlignment="false" applyProtection="false">
      <alignment horizontal="general" vertical="bottom" textRotation="0" wrapText="false" indent="0" shrinkToFit="false"/>
      <protection locked="true" hidden="false"/>
    </xf>
    <xf numFmtId="165" fontId="0" fillId="5" borderId="2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24" fillId="3" borderId="12" xfId="0" applyFont="true" applyBorder="true" applyAlignment="true" applyProtection="false">
      <alignment horizontal="general" vertical="bottom" textRotation="0" wrapText="false" indent="0" shrinkToFit="false"/>
      <protection locked="true" hidden="false"/>
    </xf>
    <xf numFmtId="164" fontId="24" fillId="3" borderId="31"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true" applyProtection="false">
      <alignment horizontal="center" vertical="bottom" textRotation="0" wrapText="false" indent="0" shrinkToFit="false"/>
      <protection locked="true" hidden="false"/>
    </xf>
    <xf numFmtId="164" fontId="0" fillId="3" borderId="32" xfId="0" applyFont="true" applyBorder="true" applyAlignment="true" applyProtection="false">
      <alignment horizontal="center" vertical="bottom" textRotation="0" wrapText="false" indent="0" shrinkToFit="false"/>
      <protection locked="true" hidden="false"/>
    </xf>
    <xf numFmtId="164" fontId="22" fillId="5" borderId="0" xfId="0" applyFont="true" applyBorder="false" applyAlignment="false" applyProtection="false">
      <alignment horizontal="general" vertical="bottom" textRotation="0" wrapText="false" indent="0" shrinkToFit="false"/>
      <protection locked="true" hidden="false"/>
    </xf>
    <xf numFmtId="164" fontId="22" fillId="5" borderId="0" xfId="0" applyFont="true" applyBorder="false" applyAlignment="true" applyProtection="false">
      <alignment horizontal="general" vertical="bottom" textRotation="0" wrapText="false" indent="0" shrinkToFit="true"/>
      <protection locked="true" hidden="false"/>
    </xf>
    <xf numFmtId="164" fontId="0" fillId="5" borderId="24" xfId="0" applyFont="true" applyBorder="true" applyAlignment="true" applyProtection="false">
      <alignment horizontal="left" vertical="bottom" textRotation="0" wrapText="false" indent="0" shrinkToFit="false"/>
      <protection locked="true" hidden="false"/>
    </xf>
    <xf numFmtId="164" fontId="0" fillId="5" borderId="15" xfId="0" applyFont="true" applyBorder="true" applyAlignment="true" applyProtection="false">
      <alignment horizontal="left" vertical="bottom" textRotation="0" wrapText="false" indent="0" shrinkToFit="false"/>
      <protection locked="true" hidden="false"/>
    </xf>
    <xf numFmtId="164" fontId="0" fillId="5" borderId="0" xfId="0" applyFont="true" applyBorder="true" applyAlignment="true" applyProtection="false">
      <alignment horizontal="center" vertical="bottom" textRotation="0" wrapText="false" indent="0" shrinkToFit="false"/>
      <protection locked="true" hidden="false"/>
    </xf>
    <xf numFmtId="164" fontId="25" fillId="5" borderId="33" xfId="0" applyFont="true" applyBorder="true" applyAlignment="false" applyProtection="false">
      <alignment horizontal="general" vertical="bottom" textRotation="0" wrapText="false" indent="0" shrinkToFit="false"/>
      <protection locked="true" hidden="false"/>
    </xf>
    <xf numFmtId="164" fontId="25" fillId="5" borderId="33" xfId="0" applyFont="true" applyBorder="true" applyAlignment="true" applyProtection="false">
      <alignment horizontal="general" vertical="bottom" textRotation="0" wrapText="false" indent="0" shrinkToFit="true"/>
      <protection locked="true" hidden="false"/>
    </xf>
    <xf numFmtId="164" fontId="0" fillId="5" borderId="7"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center" vertical="bottom" textRotation="0" wrapText="false" indent="0" shrinkToFit="false"/>
      <protection locked="true" hidden="false"/>
    </xf>
    <xf numFmtId="164" fontId="0" fillId="3" borderId="17" xfId="0" applyFont="true" applyBorder="true" applyAlignment="true" applyProtection="false">
      <alignment horizontal="center" vertical="bottom" textRotation="0" wrapText="false" indent="0" shrinkToFit="false"/>
      <protection locked="true" hidden="false"/>
    </xf>
    <xf numFmtId="164" fontId="25" fillId="5" borderId="18" xfId="0" applyFont="true" applyBorder="true" applyAlignment="false" applyProtection="false">
      <alignment horizontal="general" vertical="bottom" textRotation="0" wrapText="false" indent="0" shrinkToFit="false"/>
      <protection locked="true" hidden="false"/>
    </xf>
    <xf numFmtId="164" fontId="25" fillId="5" borderId="18" xfId="0" applyFont="true" applyBorder="true" applyAlignment="true" applyProtection="false">
      <alignment horizontal="general" vertical="bottom" textRotation="0" wrapText="false" indent="0" shrinkToFit="true"/>
      <protection locked="true" hidden="false"/>
    </xf>
    <xf numFmtId="164" fontId="0" fillId="2" borderId="1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5" borderId="34"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left" vertical="bottom" textRotation="0" wrapText="false" indent="0" shrinkToFit="false"/>
      <protection locked="true" hidden="false"/>
    </xf>
    <xf numFmtId="164" fontId="0" fillId="5" borderId="35" xfId="0" applyFont="true" applyBorder="true" applyAlignment="true" applyProtection="false">
      <alignment horizontal="center" vertical="bottom" textRotation="0" wrapText="false" indent="0" shrinkToFit="false"/>
      <protection locked="true" hidden="false"/>
    </xf>
    <xf numFmtId="164" fontId="10" fillId="3" borderId="36" xfId="0" applyFont="true" applyBorder="true" applyAlignment="false" applyProtection="false">
      <alignment horizontal="general" vertical="bottom" textRotation="0" wrapText="false" indent="0" shrinkToFit="false"/>
      <protection locked="true" hidden="false"/>
    </xf>
    <xf numFmtId="164" fontId="26" fillId="3" borderId="37" xfId="0" applyFont="true" applyBorder="true" applyAlignment="true" applyProtection="false">
      <alignment horizontal="center" vertical="bottom" textRotation="0" wrapText="true" indent="0" shrinkToFit="false"/>
      <protection locked="true" hidden="false"/>
    </xf>
    <xf numFmtId="164" fontId="0" fillId="3" borderId="37" xfId="0" applyFont="true" applyBorder="true" applyAlignment="true" applyProtection="false">
      <alignment horizontal="center" vertical="center" textRotation="0" wrapText="false" indent="0" shrinkToFit="false"/>
      <protection locked="true" hidden="false"/>
    </xf>
    <xf numFmtId="164" fontId="0" fillId="3" borderId="37" xfId="0" applyFont="true" applyBorder="true" applyAlignment="true" applyProtection="false">
      <alignment horizontal="center" vertical="bottom" textRotation="0" wrapText="tru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64" fontId="0" fillId="5" borderId="39"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true" applyProtection="false">
      <alignment horizontal="center" vertical="bottom" textRotation="0" wrapText="false" indent="0" shrinkToFit="false"/>
      <protection locked="true" hidden="false"/>
    </xf>
    <xf numFmtId="164" fontId="0" fillId="5" borderId="41" xfId="0" applyFont="true" applyBorder="true" applyAlignment="true" applyProtection="false">
      <alignment horizontal="center" vertical="bottom" textRotation="0" wrapText="false" indent="0" shrinkToFit="false"/>
      <protection locked="true" hidden="false"/>
    </xf>
    <xf numFmtId="164" fontId="24" fillId="5" borderId="39"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true" applyProtection="false">
      <alignment horizontal="center" vertical="bottom" textRotation="0" wrapText="false" indent="0" shrinkToFit="false"/>
      <protection locked="true" hidden="false"/>
    </xf>
    <xf numFmtId="164" fontId="25" fillId="5" borderId="42" xfId="0" applyFont="true" applyBorder="true" applyAlignment="false" applyProtection="false">
      <alignment horizontal="general" vertical="bottom" textRotation="0" wrapText="false" indent="0" shrinkToFit="false"/>
      <protection locked="true" hidden="false"/>
    </xf>
    <xf numFmtId="164" fontId="25" fillId="5" borderId="42" xfId="0" applyFont="true" applyBorder="true" applyAlignment="true" applyProtection="false">
      <alignment horizontal="general" vertical="bottom" textRotation="0" wrapText="false" indent="0" shrinkToFit="tru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true"/>
      <protection locked="true" hidden="false"/>
    </xf>
    <xf numFmtId="164" fontId="27" fillId="3" borderId="43" xfId="0" applyFont="true" applyBorder="true" applyAlignment="true" applyProtection="false">
      <alignment horizontal="left" vertical="bottom" textRotation="0" wrapText="true" indent="0" shrinkToFit="false"/>
      <protection locked="true" hidden="false"/>
    </xf>
    <xf numFmtId="164" fontId="24" fillId="3" borderId="31" xfId="0" applyFont="true" applyBorder="true" applyAlignment="true" applyProtection="false">
      <alignment horizontal="left" vertical="bottom" textRotation="0" wrapText="false" indent="0" shrinkToFit="false"/>
      <protection locked="true" hidden="false"/>
    </xf>
    <xf numFmtId="164" fontId="24" fillId="3" borderId="34" xfId="0" applyFont="true" applyBorder="true" applyAlignment="true" applyProtection="false">
      <alignment horizontal="general" vertical="bottom" textRotation="0" wrapText="false" indent="0" shrinkToFit="false"/>
      <protection locked="true" hidden="false"/>
    </xf>
    <xf numFmtId="164" fontId="24" fillId="3" borderId="44" xfId="0" applyFont="true" applyBorder="true" applyAlignment="true" applyProtection="false">
      <alignment horizontal="general" vertical="bottom" textRotation="0" wrapText="false" indent="0" shrinkToFit="false"/>
      <protection locked="true" hidden="false"/>
    </xf>
    <xf numFmtId="164" fontId="0" fillId="3" borderId="44" xfId="0" applyFont="true" applyBorder="true" applyAlignment="true" applyProtection="false">
      <alignment horizontal="general" vertical="bottom" textRotation="0" wrapText="false" indent="0" shrinkToFit="false"/>
      <protection locked="true" hidden="false"/>
    </xf>
    <xf numFmtId="164" fontId="0" fillId="2" borderId="45"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general" vertical="bottom" textRotation="0" wrapText="false" indent="0" shrinkToFit="false"/>
      <protection locked="true" hidden="false"/>
    </xf>
    <xf numFmtId="164" fontId="0" fillId="3" borderId="46" xfId="0" applyFont="true" applyBorder="true" applyAlignment="true" applyProtection="false">
      <alignment horizontal="left" vertical="bottom" textRotation="0" wrapText="false" indent="0" shrinkToFit="false"/>
      <protection locked="true" hidden="false"/>
    </xf>
    <xf numFmtId="164" fontId="0" fillId="2" borderId="46" xfId="0" applyFont="true" applyBorder="true" applyAlignment="true" applyProtection="false">
      <alignment horizontal="left" vertical="bottom" textRotation="0" wrapText="false" indent="0" shrinkToFit="false"/>
      <protection locked="true" hidden="false"/>
    </xf>
    <xf numFmtId="164" fontId="0" fillId="2" borderId="15" xfId="0" applyFont="true" applyBorder="true" applyAlignment="false" applyProtection="false">
      <alignment horizontal="general" vertical="bottom" textRotation="0" wrapText="false" indent="0" shrinkToFit="false"/>
      <protection locked="true" hidden="false"/>
    </xf>
    <xf numFmtId="164" fontId="0" fillId="5" borderId="47" xfId="0" applyFont="true" applyBorder="true" applyAlignment="fals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true" applyProtection="false">
      <alignment horizontal="general" vertical="bottom" textRotation="0" wrapText="false" indent="0" shrinkToFit="false"/>
      <protection locked="true" hidden="false"/>
    </xf>
    <xf numFmtId="164" fontId="0" fillId="5" borderId="25" xfId="0" applyFont="true" applyBorder="true" applyAlignment="true" applyProtection="false">
      <alignment horizontal="center" vertical="bottom" textRotation="0" wrapText="false" indent="0" shrinkToFit="false"/>
      <protection locked="true" hidden="false"/>
    </xf>
    <xf numFmtId="164" fontId="0" fillId="2" borderId="48"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false" applyProtection="false">
      <alignment horizontal="general" vertical="bottom" textRotation="0" wrapText="false" indent="0" shrinkToFit="false"/>
      <protection locked="true" hidden="false"/>
    </xf>
    <xf numFmtId="164" fontId="0" fillId="5" borderId="49" xfId="0" applyFont="true" applyBorder="true" applyAlignment="false" applyProtection="false">
      <alignment horizontal="general" vertical="bottom" textRotation="0" wrapText="false" indent="0" shrinkToFit="false"/>
      <protection locked="true" hidden="false"/>
    </xf>
    <xf numFmtId="164" fontId="0" fillId="2" borderId="50" xfId="0" applyFont="true" applyBorder="true" applyAlignment="false" applyProtection="false">
      <alignment horizontal="general" vertical="bottom" textRotation="0" wrapText="false" indent="0" shrinkToFit="false"/>
      <protection locked="true" hidden="false"/>
    </xf>
    <xf numFmtId="164" fontId="0" fillId="5" borderId="51" xfId="0" applyFont="true" applyBorder="true" applyAlignment="false" applyProtection="false">
      <alignment horizontal="general" vertical="bottom" textRotation="0" wrapText="false" indent="0" shrinkToFit="false"/>
      <protection locked="true" hidden="false"/>
    </xf>
    <xf numFmtId="164" fontId="0" fillId="2" borderId="52"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5"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general" vertical="bottom" textRotation="0" wrapText="false" indent="0" shrinkToFit="false"/>
      <protection locked="true" hidden="false"/>
    </xf>
    <xf numFmtId="164" fontId="0" fillId="7" borderId="15" xfId="0" applyFont="true" applyBorder="true" applyAlignment="false" applyProtection="false">
      <alignment horizontal="general" vertical="bottom" textRotation="0" wrapText="false" indent="0" shrinkToFit="false"/>
      <protection locked="true" hidden="false"/>
    </xf>
    <xf numFmtId="164" fontId="0" fillId="7" borderId="16" xfId="0" applyFont="true" applyBorder="true" applyAlignment="false" applyProtection="false">
      <alignment horizontal="general" vertical="bottom" textRotation="0" wrapText="false" indent="0" shrinkToFit="false"/>
      <protection locked="true" hidden="false"/>
    </xf>
    <xf numFmtId="164" fontId="0" fillId="2" borderId="28"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center" vertical="bottom" textRotation="0" wrapText="false" indent="0" shrinkToFit="false"/>
      <protection locked="true" hidden="false"/>
    </xf>
    <xf numFmtId="164" fontId="0" fillId="2" borderId="53" xfId="0" applyFont="true" applyBorder="true" applyAlignment="true" applyProtection="false">
      <alignment horizontal="center" vertical="bottom" textRotation="0" wrapText="false" indent="0" shrinkToFit="false"/>
      <protection locked="true" hidden="false"/>
    </xf>
    <xf numFmtId="164" fontId="0" fillId="5" borderId="3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center" vertical="bottom" textRotation="0" wrapText="false" indent="0" shrinkToFit="false"/>
      <protection locked="true" hidden="false"/>
    </xf>
    <xf numFmtId="164" fontId="0" fillId="5" borderId="15"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center" vertical="bottom" textRotation="0" wrapText="false" indent="0" shrinkToFit="false"/>
      <protection locked="true" hidden="false"/>
    </xf>
    <xf numFmtId="167" fontId="0" fillId="0" borderId="0"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center" vertical="bottom" textRotation="0" wrapText="false" indent="0" shrinkToFit="false"/>
      <protection locked="true" hidden="false"/>
    </xf>
    <xf numFmtId="164" fontId="0" fillId="5" borderId="24"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false" applyProtection="false">
      <alignment horizontal="general" vertical="bottom" textRotation="0" wrapText="false" indent="0" shrinkToFit="false"/>
      <protection locked="true" hidden="false"/>
    </xf>
    <xf numFmtId="164" fontId="0" fillId="2" borderId="35" xfId="0" applyFont="true" applyBorder="true" applyAlignment="true" applyProtection="false">
      <alignment horizontal="center" vertical="bottom" textRotation="0" wrapText="false" indent="0" shrinkToFit="false"/>
      <protection locked="true" hidden="false"/>
    </xf>
    <xf numFmtId="167" fontId="0" fillId="5" borderId="16" xfId="0" applyFont="true" applyBorder="true" applyAlignment="true" applyProtection="false">
      <alignment horizontal="left"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5" borderId="28" xfId="0" applyFont="true" applyBorder="true" applyAlignment="tru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general" vertical="bottom" textRotation="0" wrapText="false" indent="0" shrinkToFit="false"/>
      <protection locked="true" hidden="false"/>
    </xf>
    <xf numFmtId="167" fontId="0" fillId="5" borderId="29" xfId="0" applyFont="true" applyBorder="true" applyAlignment="true" applyProtection="false">
      <alignment horizontal="left" vertical="bottom" textRotation="0" wrapText="false" indent="0" shrinkToFit="false"/>
      <protection locked="true" hidden="false"/>
    </xf>
    <xf numFmtId="164" fontId="0" fillId="5" borderId="29" xfId="0" applyFont="true" applyBorder="true" applyAlignment="true" applyProtection="false">
      <alignment horizontal="left" vertical="bottom" textRotation="0" wrapText="false" indent="0" shrinkToFit="false"/>
      <protection locked="true" hidden="false"/>
    </xf>
    <xf numFmtId="164" fontId="24" fillId="3" borderId="13" xfId="0" applyFont="true" applyBorder="true" applyAlignment="tru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general" vertical="bottom" textRotation="0" wrapText="false" indent="0" shrinkToFit="false"/>
      <protection locked="true" hidden="false"/>
    </xf>
    <xf numFmtId="164" fontId="24" fillId="3" borderId="12" xfId="0" applyFont="true" applyBorder="true" applyAlignment="true" applyProtection="false">
      <alignment horizontal="left"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2" borderId="53" xfId="0" applyFont="true" applyBorder="true" applyAlignment="false" applyProtection="false">
      <alignment horizontal="general" vertical="bottom" textRotation="0" wrapText="false" indent="0" shrinkToFit="false"/>
      <protection locked="true" hidden="false"/>
    </xf>
    <xf numFmtId="164" fontId="24" fillId="3" borderId="14" xfId="0" applyFont="true" applyBorder="true" applyAlignment="false" applyProtection="false">
      <alignment horizontal="general" vertical="bottom" textRotation="0" wrapText="false" indent="0" shrinkToFit="false"/>
      <protection locked="true" hidden="false"/>
    </xf>
    <xf numFmtId="164" fontId="0" fillId="2" borderId="54"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5" borderId="17" xfId="0" applyFont="false" applyBorder="true" applyAlignment="true" applyProtection="false">
      <alignment horizontal="center" vertical="bottom" textRotation="0" wrapText="false" indent="0" shrinkToFit="false"/>
      <protection locked="true" hidden="false"/>
    </xf>
    <xf numFmtId="164" fontId="0" fillId="5" borderId="53" xfId="0" applyFont="false" applyBorder="true" applyAlignment="true" applyProtection="false">
      <alignment horizontal="center" vertical="bottom" textRotation="0" wrapText="false" indent="0" shrinkToFit="false"/>
      <protection locked="true" hidden="false"/>
    </xf>
    <xf numFmtId="164" fontId="0" fillId="2" borderId="15"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true" applyProtection="false">
      <alignment horizontal="center" vertical="bottom" textRotation="0" wrapText="false" indent="0" shrinkToFit="false"/>
      <protection locked="true" hidden="false"/>
    </xf>
    <xf numFmtId="164" fontId="0" fillId="5" borderId="25" xfId="0" applyFont="false" applyBorder="true" applyAlignment="true" applyProtection="false">
      <alignment horizontal="center" vertical="bottom" textRotation="0" wrapText="false" indent="0" shrinkToFit="false"/>
      <protection locked="true" hidden="false"/>
    </xf>
    <xf numFmtId="164" fontId="0" fillId="2" borderId="28" xfId="0" applyFont="false" applyBorder="true" applyAlignment="false" applyProtection="false">
      <alignment horizontal="general" vertical="bottom" textRotation="0" wrapText="false" indent="0" shrinkToFit="false"/>
      <protection locked="true" hidden="false"/>
    </xf>
    <xf numFmtId="164" fontId="0" fillId="2" borderId="25" xfId="0" applyFont="false" applyBorder="true" applyAlignment="true" applyProtection="false">
      <alignment horizontal="center" vertical="bottom" textRotation="0" wrapText="false" indent="0" shrinkToFit="false"/>
      <protection locked="true" hidden="false"/>
    </xf>
    <xf numFmtId="164" fontId="27" fillId="3" borderId="12"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false" applyProtection="false">
      <alignment horizontal="general" vertical="bottom" textRotation="0" wrapText="false" indent="0" shrinkToFit="false"/>
      <protection locked="true" hidden="false"/>
    </xf>
    <xf numFmtId="164" fontId="0" fillId="2" borderId="19" xfId="0" applyFont="false" applyBorder="true" applyAlignment="true" applyProtection="false">
      <alignment horizontal="center" vertical="bottom" textRotation="0" wrapText="false" indent="0" shrinkToFit="false"/>
      <protection locked="true" hidden="false"/>
    </xf>
    <xf numFmtId="164" fontId="0" fillId="2" borderId="29" xfId="0" applyFont="false" applyBorder="true" applyAlignment="true" applyProtection="false">
      <alignment horizontal="center" vertical="bottom" textRotation="0" wrapText="false" indent="0" shrinkToFit="false"/>
      <protection locked="true" hidden="false"/>
    </xf>
    <xf numFmtId="164" fontId="24"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2" borderId="16" xfId="0" applyFont="false" applyBorder="true" applyAlignment="true" applyProtection="false">
      <alignment horizontal="center" vertical="bottom" textRotation="0" wrapText="false" indent="0" shrinkToFit="false"/>
      <protection locked="true" hidden="false"/>
    </xf>
    <xf numFmtId="164" fontId="0" fillId="5" borderId="29" xfId="0" applyFont="false" applyBorder="true" applyAlignment="true" applyProtection="false">
      <alignment horizontal="center" vertical="bottom" textRotation="0" wrapText="false" indent="0" shrinkToFit="false"/>
      <protection locked="true" hidden="false"/>
    </xf>
    <xf numFmtId="164" fontId="0" fillId="0" borderId="27"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left" vertical="bottom" textRotation="0" wrapText="false" indent="0" shrinkToFit="false"/>
      <protection locked="true" hidden="false"/>
    </xf>
    <xf numFmtId="164" fontId="0" fillId="2" borderId="45"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center" vertical="bottom" textRotation="0" wrapText="false" indent="0" shrinkToFit="false"/>
      <protection locked="true" hidden="false"/>
    </xf>
    <xf numFmtId="164" fontId="0" fillId="2" borderId="56" xfId="0" applyFont="true" applyBorder="true" applyAlignment="true" applyProtection="false">
      <alignment horizontal="center" vertical="bottom" textRotation="0" wrapText="false" indent="0" shrinkToFit="false"/>
      <protection locked="true" hidden="false"/>
    </xf>
    <xf numFmtId="164" fontId="0" fillId="2" borderId="57" xfId="0" applyFont="true" applyBorder="true" applyAlignment="true" applyProtection="false">
      <alignment horizontal="general" vertical="bottom" textRotation="0" wrapText="false" indent="0" shrinkToFit="false"/>
      <protection locked="true" hidden="false"/>
    </xf>
    <xf numFmtId="164" fontId="0" fillId="2" borderId="52" xfId="0" applyFont="true" applyBorder="true" applyAlignment="true" applyProtection="false">
      <alignment horizontal="left" vertical="bottom" textRotation="0" wrapText="false" indent="0" shrinkToFit="false"/>
      <protection locked="true" hidden="false"/>
    </xf>
    <xf numFmtId="164" fontId="0" fillId="2" borderId="29" xfId="0" applyFont="true" applyBorder="true" applyAlignment="true" applyProtection="false">
      <alignment horizontal="left" vertical="bottom" textRotation="0" wrapText="false" indent="0" shrinkToFit="false"/>
      <protection locked="true" hidden="false"/>
    </xf>
    <xf numFmtId="164" fontId="0" fillId="2" borderId="58" xfId="0" applyFont="true" applyBorder="true" applyAlignment="true" applyProtection="false">
      <alignment horizontal="left" vertical="bottom" textRotation="0" wrapText="false" indent="0" shrinkToFit="false"/>
      <protection locked="true" hidden="false"/>
    </xf>
    <xf numFmtId="164" fontId="0" fillId="2" borderId="59" xfId="0" applyFont="true" applyBorder="true" applyAlignment="true" applyProtection="false">
      <alignment horizontal="center" vertical="bottom" textRotation="0" wrapText="false" indent="0" shrinkToFit="false"/>
      <protection locked="true" hidden="false"/>
    </xf>
    <xf numFmtId="164" fontId="0" fillId="2" borderId="3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2" borderId="60" xfId="0" applyFont="true" applyBorder="tru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general" vertical="top" textRotation="0" wrapText="true" indent="0" shrinkToFit="false"/>
      <protection locked="true" hidden="false"/>
    </xf>
    <xf numFmtId="164" fontId="0" fillId="2" borderId="19" xfId="0" applyFont="true" applyBorder="true" applyAlignment="true" applyProtection="false">
      <alignment horizontal="general" vertical="top" textRotation="0" wrapText="true" indent="0" shrinkToFit="false"/>
      <protection locked="true" hidden="false"/>
    </xf>
    <xf numFmtId="164" fontId="0" fillId="2" borderId="35" xfId="0" applyFont="true" applyBorder="true" applyAlignment="true" applyProtection="false">
      <alignment horizontal="general" vertical="top" textRotation="0" wrapText="true" indent="0" shrinkToFit="false"/>
      <protection locked="true" hidden="false"/>
    </xf>
    <xf numFmtId="164" fontId="0" fillId="2" borderId="7" xfId="0" applyFont="true" applyBorder="true" applyAlignment="true" applyProtection="false">
      <alignment horizontal="general" vertical="top" textRotation="0" wrapText="true" indent="0" shrinkToFit="false"/>
      <protection locked="true" hidden="false"/>
    </xf>
    <xf numFmtId="164" fontId="0" fillId="2" borderId="0" xfId="0" applyFont="true" applyBorder="true" applyAlignment="true" applyProtection="false">
      <alignment horizontal="general" vertical="top" textRotation="0" wrapText="true" indent="0" shrinkToFit="false"/>
      <protection locked="true" hidden="false"/>
    </xf>
    <xf numFmtId="164" fontId="0" fillId="2" borderId="23" xfId="0" applyFont="true" applyBorder="true" applyAlignment="true" applyProtection="false">
      <alignment horizontal="general" vertical="top" textRotation="0" wrapText="true" indent="0" shrinkToFit="false"/>
      <protection locked="true" hidden="false"/>
    </xf>
    <xf numFmtId="164" fontId="0" fillId="2" borderId="26" xfId="0" applyFont="true" applyBorder="true" applyAlignment="true" applyProtection="false">
      <alignment horizontal="general" vertical="top" textRotation="0" wrapText="true" indent="0" shrinkToFit="false"/>
      <protection locked="true" hidden="false"/>
    </xf>
    <xf numFmtId="164" fontId="0" fillId="2" borderId="27" xfId="0" applyFont="true" applyBorder="true" applyAlignment="true" applyProtection="false">
      <alignment horizontal="general" vertical="top" textRotation="0" wrapText="true" indent="0" shrinkToFit="false"/>
      <protection locked="true" hidden="false"/>
    </xf>
    <xf numFmtId="164" fontId="0" fillId="2" borderId="30" xfId="0" applyFont="true" applyBorder="true" applyAlignment="true" applyProtection="false">
      <alignment horizontal="general" vertical="top" textRotation="0" wrapText="true" indent="0" shrinkToFit="false"/>
      <protection locked="true" hidden="false"/>
    </xf>
    <xf numFmtId="164" fontId="24" fillId="3" borderId="4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24" fillId="3" borderId="13" xfId="0" applyFont="true" applyBorder="true" applyAlignment="true" applyProtection="false">
      <alignment horizontal="left" vertical="bottom" textRotation="0" wrapText="false" indent="0" shrinkToFit="false"/>
      <protection locked="true" hidden="false"/>
    </xf>
    <xf numFmtId="164" fontId="24" fillId="3" borderId="14" xfId="0" applyFont="true" applyBorder="true" applyAlignment="true" applyProtection="false">
      <alignment horizontal="left" vertical="bottom" textRotation="0" wrapText="false" indent="0" shrinkToFit="false"/>
      <protection locked="true" hidden="false"/>
    </xf>
    <xf numFmtId="164" fontId="0" fillId="3" borderId="15" xfId="0" applyFont="true" applyBorder="true" applyAlignment="true" applyProtection="false">
      <alignment horizontal="center" vertical="bottom" textRotation="0" wrapText="false" indent="0" shrinkToFit="false"/>
      <protection locked="true" hidden="false"/>
    </xf>
    <xf numFmtId="164" fontId="0" fillId="3" borderId="16" xfId="0" applyFont="true" applyBorder="true" applyAlignment="true" applyProtection="false">
      <alignment horizontal="right" vertical="bottom" textRotation="0" wrapText="false" indent="0" shrinkToFit="false"/>
      <protection locked="true" hidden="false"/>
    </xf>
    <xf numFmtId="166" fontId="0" fillId="2" borderId="15"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left" vertical="bottom" textRotation="0" wrapText="false" indent="0" shrinkToFit="false"/>
      <protection locked="true" hidden="false"/>
    </xf>
    <xf numFmtId="164" fontId="0" fillId="3" borderId="28" xfId="0" applyFont="true" applyBorder="true" applyAlignment="true" applyProtection="false">
      <alignment horizontal="general" vertical="top" textRotation="0" wrapText="true" indent="0" shrinkToFit="false"/>
      <protection locked="true" hidden="false"/>
    </xf>
    <xf numFmtId="164" fontId="0" fillId="3" borderId="19" xfId="0" applyFont="true" applyBorder="true" applyAlignment="true" applyProtection="false">
      <alignment horizontal="general" vertical="top" textRotation="0" wrapText="true" indent="0" shrinkToFit="false"/>
      <protection locked="true" hidden="false"/>
    </xf>
    <xf numFmtId="164" fontId="0" fillId="0" borderId="19" xfId="0" applyFont="false" applyBorder="true" applyAlignment="true" applyProtection="false">
      <alignment horizontal="general" vertical="top" textRotation="0" wrapText="true" indent="0" shrinkToFit="false"/>
      <protection locked="true" hidden="false"/>
    </xf>
    <xf numFmtId="164" fontId="0" fillId="0" borderId="35" xfId="0" applyFont="false" applyBorder="true" applyAlignment="true" applyProtection="false">
      <alignment horizontal="general" vertical="top" textRotation="0" wrapText="true" indent="0" shrinkToFit="false"/>
      <protection locked="true" hidden="false"/>
    </xf>
    <xf numFmtId="164" fontId="0" fillId="3"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23" xfId="0" applyFont="false" applyBorder="true" applyAlignment="true" applyProtection="false">
      <alignment horizontal="general" vertical="top" textRotation="0" wrapText="true" indent="0" shrinkToFit="false"/>
      <protection locked="true" hidden="false"/>
    </xf>
    <xf numFmtId="164" fontId="0" fillId="3" borderId="27" xfId="0" applyFont="true" applyBorder="true" applyAlignment="true" applyProtection="false">
      <alignment horizontal="general" vertical="top" textRotation="0" wrapText="true" indent="0" shrinkToFit="false"/>
      <protection locked="true" hidden="false"/>
    </xf>
    <xf numFmtId="164" fontId="0" fillId="0" borderId="27" xfId="0" applyFont="false" applyBorder="true" applyAlignment="true" applyProtection="false">
      <alignment horizontal="general" vertical="top" textRotation="0" wrapText="true" indent="0" shrinkToFit="false"/>
      <protection locked="true" hidden="false"/>
    </xf>
    <xf numFmtId="164" fontId="0" fillId="0" borderId="30" xfId="0" applyFont="false" applyBorder="true" applyAlignment="true" applyProtection="false">
      <alignment horizontal="general" vertical="top" textRotation="0" wrapText="true" indent="0" shrinkToFit="false"/>
      <protection locked="true" hidden="false"/>
    </xf>
    <xf numFmtId="166" fontId="0" fillId="2" borderId="28" xfId="0" applyFont="true" applyBorder="true" applyAlignment="true" applyProtection="false">
      <alignment horizontal="center" vertical="bottom" textRotation="0" wrapText="false" indent="0" shrinkToFit="false"/>
      <protection locked="true" hidden="false"/>
    </xf>
    <xf numFmtId="164" fontId="0" fillId="2" borderId="29" xfId="0" applyFont="true" applyBorder="true" applyAlignment="tru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2" borderId="15" xfId="0" applyFont="true" applyBorder="true" applyAlignment="true" applyProtection="false">
      <alignment horizontal="center" vertical="bottom" textRotation="0" wrapText="false" indent="0" shrinkToFit="false"/>
      <protection locked="true" hidden="false"/>
    </xf>
    <xf numFmtId="164" fontId="0" fillId="2" borderId="28" xfId="0" applyFont="true" applyBorder="true" applyAlignment="true" applyProtection="false">
      <alignment horizontal="center" vertical="bottom" textRotation="0" wrapText="false" indent="0" shrinkToFit="false"/>
      <protection locked="true" hidden="false"/>
    </xf>
    <xf numFmtId="164" fontId="0" fillId="3" borderId="31" xfId="0" applyFont="true" applyBorder="true" applyAlignment="false" applyProtection="false">
      <alignment horizontal="general" vertical="bottom" textRotation="0" wrapText="false" indent="0" shrinkToFit="false"/>
      <protection locked="true" hidden="false"/>
    </xf>
    <xf numFmtId="164" fontId="0" fillId="3" borderId="32" xfId="0" applyFont="true" applyBorder="true" applyAlignment="false" applyProtection="false">
      <alignment horizontal="general" vertical="bottom" textRotation="0" wrapText="false" indent="0" shrinkToFit="false"/>
      <protection locked="true" hidden="false"/>
    </xf>
    <xf numFmtId="164" fontId="0" fillId="5" borderId="27" xfId="0" applyFont="true" applyBorder="true" applyAlignment="false" applyProtection="false">
      <alignment horizontal="general" vertical="bottom" textRotation="0" wrapText="false" indent="0" shrinkToFit="false"/>
      <protection locked="true" hidden="false"/>
    </xf>
    <xf numFmtId="164" fontId="0" fillId="5" borderId="30" xfId="0" applyFont="true" applyBorder="true" applyAlignment="false" applyProtection="false">
      <alignment horizontal="general" vertical="bottom" textRotation="0" wrapText="false" indent="0" shrinkToFit="false"/>
      <protection locked="true" hidden="false"/>
    </xf>
    <xf numFmtId="164" fontId="0" fillId="5" borderId="53" xfId="0" applyFont="true" applyBorder="true" applyAlignment="false" applyProtection="false">
      <alignment horizontal="general" vertical="bottom" textRotation="0" wrapText="false" indent="0" shrinkToFit="false"/>
      <protection locked="true" hidden="false"/>
    </xf>
    <xf numFmtId="164" fontId="24"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center" vertical="bottom" textRotation="0" wrapText="false" indent="0" shrinkToFit="false"/>
      <protection locked="true" hidden="false"/>
    </xf>
    <xf numFmtId="164" fontId="0" fillId="3" borderId="55" xfId="0" applyFont="true" applyBorder="true" applyAlignment="true" applyProtection="false">
      <alignment horizontal="left" vertical="bottom" textRotation="0" wrapText="false" indent="0" shrinkToFit="false"/>
      <protection locked="true" hidden="false"/>
    </xf>
    <xf numFmtId="164" fontId="0" fillId="5" borderId="4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true" applyProtection="false">
      <alignment horizontal="general" vertical="bottom" textRotation="0" wrapText="false" indent="0" shrinkToFit="false"/>
      <protection locked="true" hidden="false"/>
    </xf>
    <xf numFmtId="164" fontId="0" fillId="5" borderId="45" xfId="0" applyFont="true" applyBorder="true" applyAlignment="false" applyProtection="false">
      <alignment horizontal="general" vertical="bottom" textRotation="0" wrapText="false" indent="0" shrinkToFit="false"/>
      <protection locked="true" hidden="false"/>
    </xf>
    <xf numFmtId="164" fontId="0" fillId="3" borderId="5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fals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5" borderId="61"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true" applyProtection="false">
      <alignment horizontal="center" vertical="bottom" textRotation="0" wrapText="false" indent="0" shrinkToFit="false"/>
      <protection locked="true" hidden="false"/>
    </xf>
    <xf numFmtId="164" fontId="0" fillId="5" borderId="63" xfId="0" applyFont="true" applyBorder="true" applyAlignment="true" applyProtection="false">
      <alignment horizontal="center" vertical="bottom" textRotation="0" wrapText="false" indent="0" shrinkToFit="false"/>
      <protection locked="true" hidden="false"/>
    </xf>
    <xf numFmtId="164" fontId="0" fillId="5" borderId="64"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false" applyProtection="false">
      <alignment horizontal="general" vertical="bottom" textRotation="0" wrapText="false" indent="0" shrinkToFit="false"/>
      <protection locked="true" hidden="false"/>
    </xf>
    <xf numFmtId="164" fontId="0" fillId="5" borderId="64"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5" borderId="45" xfId="0" applyFont="true" applyBorder="true" applyAlignment="true" applyProtection="false">
      <alignment horizontal="general" vertical="bottom" textRotation="0" wrapText="false" indent="0" shrinkToFit="false"/>
      <protection locked="true" hidden="false"/>
    </xf>
    <xf numFmtId="164" fontId="0" fillId="0" borderId="61" xfId="0" applyFont="true" applyBorder="true" applyAlignment="true" applyProtection="false">
      <alignment horizontal="center" vertical="bottom" textRotation="0" wrapText="false" indent="0" shrinkToFit="false"/>
      <protection locked="true" hidden="false"/>
    </xf>
    <xf numFmtId="164" fontId="0" fillId="10"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general" vertical="bottom" textRotation="0" wrapText="false" indent="0" shrinkToFit="false"/>
      <protection locked="true" hidden="false"/>
    </xf>
    <xf numFmtId="164" fontId="0" fillId="5" borderId="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general" vertical="bottom" textRotation="0" wrapText="false" indent="0" shrinkToFit="false"/>
      <protection locked="true" hidden="false"/>
    </xf>
    <xf numFmtId="164" fontId="0" fillId="5" borderId="64" xfId="0" applyFont="true" applyBorder="true" applyAlignment="true" applyProtection="false">
      <alignment horizontal="general" vertical="bottom" textRotation="0" wrapText="false" indent="0" shrinkToFit="false"/>
      <protection locked="true" hidden="false"/>
    </xf>
    <xf numFmtId="164" fontId="0" fillId="3" borderId="19" xfId="0" applyFont="true" applyBorder="true" applyAlignment="tru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bottom" textRotation="0" wrapText="false" indent="0" shrinkToFit="false"/>
      <protection locked="true" hidden="false"/>
    </xf>
    <xf numFmtId="164" fontId="0" fillId="3" borderId="61" xfId="0" applyFont="true" applyBorder="true" applyAlignment="true" applyProtection="false">
      <alignment horizontal="right" vertical="bottom" textRotation="0" wrapText="false" indent="0" shrinkToFit="false"/>
      <protection locked="true" hidden="false"/>
    </xf>
    <xf numFmtId="164" fontId="0" fillId="3" borderId="62"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center" vertical="bottom" textRotation="0" wrapText="false" indent="0" shrinkToFit="false"/>
      <protection locked="true" hidden="false"/>
    </xf>
    <xf numFmtId="164" fontId="0" fillId="3" borderId="65"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right" vertical="bottom" textRotation="0" wrapText="false" indent="0" shrinkToFit="false"/>
      <protection locked="true" hidden="false"/>
    </xf>
    <xf numFmtId="164" fontId="0" fillId="3" borderId="61" xfId="0" applyFont="true" applyBorder="true" applyAlignment="false" applyProtection="false">
      <alignment horizontal="general" vertical="bottom" textRotation="0" wrapText="false" indent="0" shrinkToFit="false"/>
      <protection locked="true" hidden="false"/>
    </xf>
    <xf numFmtId="164" fontId="0" fillId="3" borderId="62" xfId="0" applyFont="true" applyBorder="true" applyAlignment="true" applyProtection="false">
      <alignment horizontal="center" vertical="bottom" textRotation="0" wrapText="false" indent="0" shrinkToFit="false"/>
      <protection locked="true" hidden="false"/>
    </xf>
    <xf numFmtId="164" fontId="0" fillId="3" borderId="62"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62" xfId="0" applyFont="false" applyBorder="true" applyAlignment="false" applyProtection="false">
      <alignment horizontal="general" vertical="bottom" textRotation="0" wrapText="false" indent="0" shrinkToFit="false"/>
      <protection locked="true" hidden="false"/>
    </xf>
    <xf numFmtId="164" fontId="0" fillId="3" borderId="6" xfId="0" applyFont="true" applyBorder="true" applyAlignment="true" applyProtection="false">
      <alignment horizontal="center" vertical="bottom" textRotation="0" wrapText="false" indent="0" shrinkToFit="false"/>
      <protection locked="true" hidden="false"/>
    </xf>
    <xf numFmtId="164" fontId="0" fillId="3" borderId="66"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center" vertical="bottom" textRotation="0" wrapText="false" indent="0" shrinkToFit="false"/>
      <protection locked="true" hidden="false"/>
    </xf>
    <xf numFmtId="164" fontId="0" fillId="3" borderId="44"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center" vertical="bottom" textRotation="0" wrapText="false" indent="0" shrinkToFit="false"/>
      <protection locked="true" hidden="false"/>
    </xf>
    <xf numFmtId="164" fontId="0" fillId="3" borderId="64"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left" vertical="bottom" textRotation="0" wrapText="false" indent="0" shrinkToFit="false"/>
      <protection locked="true" hidden="false"/>
    </xf>
    <xf numFmtId="164" fontId="0" fillId="3" borderId="44" xfId="0" applyFont="true" applyBorder="true" applyAlignment="false" applyProtection="false">
      <alignment horizontal="general" vertical="bottom" textRotation="0" wrapText="false" indent="0" shrinkToFit="false"/>
      <protection locked="true" hidden="false"/>
    </xf>
    <xf numFmtId="164" fontId="0" fillId="5" borderId="6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5" borderId="61" xfId="0" applyFont="true" applyBorder="true" applyAlignment="false" applyProtection="false">
      <alignment horizontal="general" vertical="bottom" textRotation="0" wrapText="false" indent="0" shrinkToFit="false"/>
      <protection locked="true" hidden="false"/>
    </xf>
    <xf numFmtId="164" fontId="0" fillId="5" borderId="0" xfId="0" applyFont="true" applyBorder="true" applyAlignment="false" applyProtection="false">
      <alignment horizontal="general" vertical="bottom" textRotation="0" wrapText="false" indent="0" shrinkToFit="false"/>
      <protection locked="true" hidden="false"/>
    </xf>
    <xf numFmtId="164" fontId="0" fillId="5" borderId="65"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right" vertical="bottom" textRotation="0" wrapText="false" indent="0" shrinkToFit="false"/>
      <protection locked="true" hidden="false"/>
    </xf>
    <xf numFmtId="164" fontId="0" fillId="5" borderId="66" xfId="0" applyFont="true" applyBorder="true" applyAlignment="false" applyProtection="false">
      <alignment horizontal="general" vertical="bottom" textRotation="0" wrapText="false" indent="0" shrinkToFit="false"/>
      <protection locked="true" hidden="false"/>
    </xf>
    <xf numFmtId="164" fontId="0" fillId="5" borderId="67"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right" vertical="bottom" textRotation="0" wrapText="false" indent="0" shrinkToFit="false"/>
      <protection locked="true" hidden="false"/>
    </xf>
    <xf numFmtId="164" fontId="0" fillId="5" borderId="63"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right" vertical="bottom" textRotation="0" wrapText="false" indent="0" shrinkToFit="false"/>
      <protection locked="true" hidden="false"/>
    </xf>
    <xf numFmtId="164" fontId="0" fillId="5" borderId="44" xfId="0" applyFont="true" applyBorder="true" applyAlignment="true" applyProtection="false">
      <alignment horizontal="general" vertical="bottom" textRotation="0" wrapText="false" indent="0" shrinkToFit="false"/>
      <protection locked="true" hidden="false"/>
    </xf>
    <xf numFmtId="164" fontId="0" fillId="0" borderId="66"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center" textRotation="0" wrapText="false" indent="0" shrinkToFit="false"/>
      <protection locked="true" hidden="false"/>
    </xf>
    <xf numFmtId="164" fontId="0" fillId="0" borderId="66"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false" applyProtection="false">
      <alignment horizontal="general" vertical="bottom" textRotation="0" wrapText="false" indent="0" shrinkToFit="false"/>
      <protection locked="true" hidden="false"/>
    </xf>
    <xf numFmtId="164" fontId="0" fillId="5" borderId="4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28" fillId="0" borderId="68"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11" borderId="69" xfId="0" applyFont="true" applyBorder="true" applyAlignment="true" applyProtection="false">
      <alignment horizontal="center" vertical="bottom" textRotation="0" wrapText="false" indent="0" shrinkToFit="false"/>
      <protection locked="true" hidden="false"/>
    </xf>
    <xf numFmtId="164" fontId="30" fillId="11" borderId="54" xfId="0" applyFont="true" applyBorder="true" applyAlignment="true" applyProtection="false">
      <alignment horizontal="center" vertical="bottom" textRotation="0" wrapText="false" indent="0" shrinkToFit="false"/>
      <protection locked="true" hidden="false"/>
    </xf>
    <xf numFmtId="164" fontId="30" fillId="11" borderId="70" xfId="0" applyFont="true" applyBorder="true" applyAlignment="true" applyProtection="false">
      <alignment horizontal="center" vertical="bottom" textRotation="0" wrapText="false" indent="0" shrinkToFit="false"/>
      <protection locked="true" hidden="false"/>
    </xf>
    <xf numFmtId="164" fontId="31" fillId="0" borderId="71" xfId="0" applyFont="true" applyBorder="true" applyAlignment="false" applyProtection="false">
      <alignment horizontal="general" vertical="bottom" textRotation="0" wrapText="false" indent="0" shrinkToFit="false"/>
      <protection locked="true" hidden="false"/>
    </xf>
    <xf numFmtId="164" fontId="31" fillId="0" borderId="7"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true" applyProtection="false">
      <alignment horizontal="general" vertical="bottom" textRotation="0" wrapText="false" indent="0" shrinkToFit="false"/>
      <protection locked="true" hidden="false"/>
    </xf>
    <xf numFmtId="164" fontId="31" fillId="0" borderId="66"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center" textRotation="0" wrapText="false" indent="0" shrinkToFit="false"/>
      <protection locked="true" hidden="false"/>
    </xf>
    <xf numFmtId="164" fontId="31" fillId="0" borderId="72" xfId="0" applyFont="tru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31" fillId="0" borderId="66" xfId="0" applyFont="true" applyBorder="true" applyAlignment="tru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false" applyProtection="false">
      <alignment horizontal="general" vertical="bottom" textRotation="0" wrapText="false" indent="0" shrinkToFit="false"/>
      <protection locked="true" hidden="false"/>
    </xf>
    <xf numFmtId="164" fontId="31" fillId="0" borderId="39" xfId="0" applyFont="true" applyBorder="true" applyAlignment="true" applyProtection="false">
      <alignment horizontal="left" vertical="bottom" textRotation="0" wrapText="false" indent="0" shrinkToFit="false"/>
      <protection locked="true" hidden="false"/>
    </xf>
    <xf numFmtId="164" fontId="31" fillId="0" borderId="45" xfId="0" applyFont="true" applyBorder="true" applyAlignment="true" applyProtection="false">
      <alignment horizontal="left" vertical="bottom" textRotation="0" wrapText="false" indent="0" shrinkToFit="false"/>
      <protection locked="true" hidden="false"/>
    </xf>
    <xf numFmtId="164" fontId="31" fillId="0" borderId="18" xfId="0" applyFont="true" applyBorder="true" applyAlignment="true" applyProtection="false">
      <alignment horizontal="general" vertical="bottom" textRotation="0" wrapText="false" indent="0" shrinkToFit="false"/>
      <protection locked="true" hidden="false"/>
    </xf>
    <xf numFmtId="164" fontId="32" fillId="0" borderId="72" xfId="0" applyFont="true" applyBorder="true" applyAlignment="true" applyProtection="false">
      <alignment horizontal="center" vertical="bottom" textRotation="0" wrapText="false" indent="0" shrinkToFit="false"/>
      <protection locked="true" hidden="false"/>
    </xf>
    <xf numFmtId="164" fontId="31" fillId="5" borderId="39" xfId="0" applyFont="true" applyBorder="true" applyAlignment="true" applyProtection="false">
      <alignment horizontal="left" vertical="bottom" textRotation="0" wrapText="false" indent="0" shrinkToFit="false"/>
      <protection locked="true" hidden="false"/>
    </xf>
    <xf numFmtId="164" fontId="31" fillId="5" borderId="45" xfId="0" applyFont="true" applyBorder="true" applyAlignment="true" applyProtection="false">
      <alignment horizontal="center" vertical="bottom" textRotation="0" wrapText="false" indent="0" shrinkToFit="false"/>
      <protection locked="true" hidden="false"/>
    </xf>
    <xf numFmtId="164" fontId="31" fillId="0" borderId="45" xfId="0" applyFont="true" applyBorder="true" applyAlignment="true" applyProtection="false">
      <alignment horizontal="center" vertical="bottom" textRotation="0" wrapText="false" indent="0" shrinkToFit="false"/>
      <protection locked="true" hidden="false"/>
    </xf>
    <xf numFmtId="164" fontId="31" fillId="0" borderId="65" xfId="0" applyFont="true" applyBorder="true" applyAlignment="true" applyProtection="false">
      <alignment horizontal="center" vertical="bottom" textRotation="0" wrapText="false" indent="0" shrinkToFit="false"/>
      <protection locked="true" hidden="false"/>
    </xf>
    <xf numFmtId="164" fontId="33" fillId="0" borderId="18" xfId="0" applyFont="true" applyBorder="true" applyAlignment="true" applyProtection="false">
      <alignment horizontal="general" vertical="bottom" textRotation="0" wrapText="true" indent="0" shrinkToFit="false"/>
      <protection locked="true" hidden="false"/>
    </xf>
    <xf numFmtId="164" fontId="31" fillId="0" borderId="7"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34" fillId="0" borderId="1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general" vertical="bottom" textRotation="0" wrapText="false" indent="0" shrinkToFit="false"/>
      <protection locked="true" hidden="false"/>
    </xf>
    <xf numFmtId="164" fontId="30" fillId="11" borderId="73" xfId="0" applyFont="true" applyBorder="true" applyAlignment="true" applyProtection="false">
      <alignment horizontal="center" vertical="bottom" textRotation="0" wrapText="false" indent="0" shrinkToFit="false"/>
      <protection locked="true" hidden="false"/>
    </xf>
    <xf numFmtId="164" fontId="35" fillId="0" borderId="39" xfId="0" applyFont="true" applyBorder="true" applyAlignment="true" applyProtection="false">
      <alignment horizontal="left" vertical="center" textRotation="0" wrapText="false" indent="0" shrinkToFit="false"/>
      <protection locked="true" hidden="false"/>
    </xf>
    <xf numFmtId="164" fontId="31" fillId="0" borderId="40" xfId="0" applyFont="true" applyBorder="true" applyAlignment="true" applyProtection="false">
      <alignment horizontal="left" vertical="bottom" textRotation="0" wrapText="false" indent="0" shrinkToFit="false"/>
      <protection locked="true" hidden="false"/>
    </xf>
    <xf numFmtId="164" fontId="31" fillId="0" borderId="40" xfId="0" applyFont="true" applyBorder="true" applyAlignment="true" applyProtection="false">
      <alignment horizontal="left" vertical="center" textRotation="0" wrapText="false" indent="0" shrinkToFit="false"/>
      <protection locked="true" hidden="false"/>
    </xf>
    <xf numFmtId="164" fontId="31" fillId="0" borderId="41" xfId="0" applyFont="true" applyBorder="true" applyAlignment="true" applyProtection="false">
      <alignment horizontal="left" vertical="center" textRotation="0" wrapText="false" indent="0" shrinkToFit="false"/>
      <protection locked="true" hidden="false"/>
    </xf>
    <xf numFmtId="164" fontId="30" fillId="11" borderId="74" xfId="0" applyFont="true" applyBorder="true" applyAlignment="true" applyProtection="false">
      <alignment horizontal="center" vertical="bottom" textRotation="0" wrapText="false" indent="0" shrinkToFit="false"/>
      <protection locked="true" hidden="false"/>
    </xf>
    <xf numFmtId="164" fontId="31" fillId="0" borderId="39"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center" vertical="bottom" textRotation="0" wrapText="false" indent="0" shrinkToFit="false"/>
      <protection locked="true" hidden="false"/>
    </xf>
    <xf numFmtId="164" fontId="31" fillId="5" borderId="16" xfId="0" applyFont="true" applyBorder="true" applyAlignment="true" applyProtection="false">
      <alignment horizontal="center" vertical="bottom" textRotation="0" wrapText="false" indent="0" shrinkToFit="false"/>
      <protection locked="true" hidden="false"/>
    </xf>
    <xf numFmtId="164" fontId="31" fillId="5" borderId="70"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left" vertical="bottom" textRotation="0" wrapText="false" indent="0" shrinkToFit="false"/>
      <protection locked="true" hidden="false"/>
    </xf>
    <xf numFmtId="164" fontId="31" fillId="0" borderId="70" xfId="0" applyFont="true" applyBorder="true" applyAlignment="true" applyProtection="false">
      <alignment horizontal="center" vertical="bottom" textRotation="0" wrapText="false" indent="0" shrinkToFit="false"/>
      <protection locked="true" hidden="false"/>
    </xf>
    <xf numFmtId="164" fontId="31" fillId="0" borderId="41" xfId="0" applyFont="true" applyBorder="true" applyAlignment="true" applyProtection="false">
      <alignment horizontal="center" vertical="bottom" textRotation="0" wrapText="false" indent="0" shrinkToFit="false"/>
      <protection locked="true" hidden="false"/>
    </xf>
    <xf numFmtId="164" fontId="30" fillId="11" borderId="75" xfId="0" applyFont="true" applyBorder="true" applyAlignment="true" applyProtection="false">
      <alignment horizontal="center" vertical="bottom" textRotation="0" wrapText="false" indent="0" shrinkToFit="false"/>
      <protection locked="true" hidden="false"/>
    </xf>
    <xf numFmtId="164" fontId="30" fillId="11" borderId="56" xfId="0" applyFont="true" applyBorder="true" applyAlignment="true" applyProtection="false">
      <alignment horizontal="center" vertical="bottom" textRotation="0" wrapText="false" indent="0" shrinkToFit="false"/>
      <protection locked="true" hidden="false"/>
    </xf>
    <xf numFmtId="164" fontId="30" fillId="11" borderId="76"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center" vertical="center" textRotation="0" wrapText="false" indent="0" shrinkToFit="false"/>
      <protection locked="true" hidden="false"/>
    </xf>
    <xf numFmtId="164" fontId="31" fillId="0" borderId="41" xfId="0" applyFont="true" applyBorder="true" applyAlignment="true" applyProtection="false">
      <alignment horizontal="center" vertical="center" textRotation="0" wrapText="false" indent="0" shrinkToFit="false"/>
      <protection locked="true" hidden="false"/>
    </xf>
    <xf numFmtId="164" fontId="30" fillId="11" borderId="46" xfId="0" applyFont="true" applyBorder="true" applyAlignment="true" applyProtection="false">
      <alignment horizontal="center" vertical="bottom" textRotation="0" wrapText="false" indent="0" shrinkToFit="false"/>
      <protection locked="true" hidden="false"/>
    </xf>
    <xf numFmtId="164" fontId="30" fillId="11" borderId="40" xfId="0" applyFont="true" applyBorder="true" applyAlignment="true" applyProtection="false">
      <alignment horizontal="center" vertical="bottom" textRotation="0" wrapText="false" indent="0" shrinkToFit="false"/>
      <protection locked="true" hidden="false"/>
    </xf>
    <xf numFmtId="164" fontId="30" fillId="11" borderId="41" xfId="0" applyFont="true" applyBorder="true" applyAlignment="true" applyProtection="false">
      <alignment horizontal="center" vertical="bottom" textRotation="0" wrapText="false" indent="0" shrinkToFit="false"/>
      <protection locked="true" hidden="false"/>
    </xf>
    <xf numFmtId="164" fontId="31" fillId="0" borderId="77" xfId="0" applyFont="true" applyBorder="true" applyAlignment="true" applyProtection="false">
      <alignment horizontal="center" vertical="bottom" textRotation="0" wrapText="false" indent="0" shrinkToFit="false"/>
      <protection locked="true" hidden="false"/>
    </xf>
    <xf numFmtId="164" fontId="31" fillId="0" borderId="78" xfId="0" applyFont="true" applyBorder="true" applyAlignment="true" applyProtection="false">
      <alignment horizontal="center" vertical="center" textRotation="0" wrapText="false" indent="0" shrinkToFit="false"/>
      <protection locked="true" hidden="false"/>
    </xf>
    <xf numFmtId="164" fontId="31" fillId="0" borderId="79" xfId="0" applyFont="true" applyBorder="true" applyAlignment="true" applyProtection="false">
      <alignment horizontal="center" vertical="center" textRotation="0" wrapText="false" indent="0" shrinkToFit="false"/>
      <protection locked="true" hidden="false"/>
    </xf>
    <xf numFmtId="164" fontId="31" fillId="0" borderId="80" xfId="0" applyFont="true" applyBorder="true" applyAlignment="true" applyProtection="false">
      <alignment horizontal="center" vertical="center" textRotation="0" wrapText="false" indent="0" shrinkToFit="false"/>
      <protection locked="true" hidden="false"/>
    </xf>
    <xf numFmtId="166" fontId="30" fillId="11" borderId="81" xfId="0" applyFont="true" applyBorder="true" applyAlignment="true" applyProtection="false">
      <alignment horizontal="center" vertical="bottom" textRotation="0" wrapText="false" indent="0" shrinkToFit="false"/>
      <protection locked="true" hidden="false"/>
    </xf>
    <xf numFmtId="166" fontId="30" fillId="11" borderId="82" xfId="0" applyFont="true" applyBorder="true" applyAlignment="true" applyProtection="false">
      <alignment horizontal="center" vertical="bottom" textRotation="0" wrapText="false" indent="0" shrinkToFit="false"/>
      <protection locked="true" hidden="false"/>
    </xf>
    <xf numFmtId="166" fontId="30" fillId="11" borderId="74" xfId="0" applyFont="true" applyBorder="true" applyAlignment="true" applyProtection="false">
      <alignment horizontal="center" vertical="bottom" textRotation="0" wrapText="false" indent="0" shrinkToFit="false"/>
      <protection locked="true" hidden="false"/>
    </xf>
    <xf numFmtId="164" fontId="31" fillId="0" borderId="83" xfId="0" applyFont="true" applyBorder="true" applyAlignment="true" applyProtection="false">
      <alignment horizontal="left" vertical="bottom" textRotation="0" wrapText="false" indent="0" shrinkToFit="false"/>
      <protection locked="true" hidden="false"/>
    </xf>
    <xf numFmtId="166" fontId="31" fillId="5" borderId="15" xfId="0" applyFont="true" applyBorder="true" applyAlignment="true" applyProtection="false">
      <alignment horizontal="center" vertical="bottom" textRotation="0" wrapText="false" indent="0" shrinkToFit="false"/>
      <protection locked="true" hidden="false"/>
    </xf>
    <xf numFmtId="166" fontId="31" fillId="5" borderId="17" xfId="0" applyFont="true" applyBorder="true" applyAlignment="true" applyProtection="false">
      <alignment horizontal="center" vertical="bottom" textRotation="0" wrapText="false" indent="0" shrinkToFit="false"/>
      <protection locked="true" hidden="false"/>
    </xf>
    <xf numFmtId="166" fontId="31" fillId="5" borderId="84" xfId="0" applyFont="true" applyBorder="true" applyAlignment="true" applyProtection="false">
      <alignment horizontal="center" vertical="bottom" textRotation="0" wrapText="false" indent="0" shrinkToFit="false"/>
      <protection locked="true" hidden="false"/>
    </xf>
    <xf numFmtId="166" fontId="31" fillId="0" borderId="85"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left" vertical="bottom" textRotation="0" wrapText="false" indent="0" shrinkToFit="false"/>
      <protection locked="true" hidden="false"/>
    </xf>
    <xf numFmtId="165" fontId="31" fillId="0" borderId="74" xfId="0" applyFont="true" applyBorder="true" applyAlignment="true" applyProtection="false">
      <alignment horizontal="center" vertical="bottom" textRotation="0" wrapText="false" indent="0" shrinkToFit="false"/>
      <protection locked="true" hidden="false"/>
    </xf>
    <xf numFmtId="166" fontId="30" fillId="11" borderId="86" xfId="0" applyFont="true" applyBorder="true" applyAlignment="true" applyProtection="false">
      <alignment horizontal="center" vertical="bottom" textRotation="0" wrapText="false" indent="0" shrinkToFit="false"/>
      <protection locked="true" hidden="false"/>
    </xf>
    <xf numFmtId="166" fontId="36" fillId="5" borderId="69" xfId="0" applyFont="true" applyBorder="true" applyAlignment="true" applyProtection="false">
      <alignment horizontal="center" vertical="bottom" textRotation="0" wrapText="false" indent="0" shrinkToFit="false"/>
      <protection locked="true" hidden="false"/>
    </xf>
    <xf numFmtId="166" fontId="36" fillId="5" borderId="17"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center" vertical="bottom" textRotation="0" wrapText="false" indent="0" shrinkToFit="false"/>
      <protection locked="true" hidden="false"/>
    </xf>
    <xf numFmtId="164" fontId="31" fillId="0" borderId="84" xfId="0" applyFont="true" applyBorder="true" applyAlignment="true" applyProtection="false">
      <alignment horizontal="left" vertical="bottom" textRotation="0" wrapText="false" indent="0" shrinkToFit="false"/>
      <protection locked="true" hidden="false"/>
    </xf>
    <xf numFmtId="166" fontId="31" fillId="0" borderId="74" xfId="0" applyFont="true" applyBorder="true" applyAlignment="true" applyProtection="false">
      <alignment horizontal="left" vertical="bottom" textRotation="0" wrapText="false" indent="0" shrinkToFit="false"/>
      <protection locked="true" hidden="false"/>
    </xf>
    <xf numFmtId="166" fontId="30" fillId="11" borderId="84" xfId="0" applyFont="true" applyBorder="true" applyAlignment="true" applyProtection="false">
      <alignment horizontal="center" vertical="bottom" textRotation="0" wrapText="false" indent="0" shrinkToFit="false"/>
      <protection locked="true" hidden="false"/>
    </xf>
    <xf numFmtId="166" fontId="31" fillId="5" borderId="15" xfId="0" applyFont="true" applyBorder="true" applyAlignment="true" applyProtection="false">
      <alignment horizontal="center" vertical="center" textRotation="0" wrapText="false" indent="0" shrinkToFit="false"/>
      <protection locked="true" hidden="false"/>
    </xf>
    <xf numFmtId="166" fontId="37" fillId="5" borderId="16" xfId="0" applyFont="true" applyBorder="true" applyAlignment="true" applyProtection="false">
      <alignment horizontal="center" vertical="center" textRotation="0" wrapText="false" indent="0" shrinkToFit="false"/>
      <protection locked="true" hidden="false"/>
    </xf>
    <xf numFmtId="166" fontId="34" fillId="5" borderId="16" xfId="0" applyFont="true" applyBorder="true" applyAlignment="true" applyProtection="false">
      <alignment horizontal="center" vertical="center" textRotation="0" wrapText="false" indent="0" shrinkToFit="false"/>
      <protection locked="true" hidden="false"/>
    </xf>
    <xf numFmtId="166" fontId="34" fillId="5" borderId="70" xfId="0" applyFont="true" applyBorder="true" applyAlignment="true" applyProtection="false">
      <alignment horizontal="center" vertical="center" textRotation="0" wrapText="false" indent="0" shrinkToFit="false"/>
      <protection locked="true" hidden="false"/>
    </xf>
    <xf numFmtId="164" fontId="38" fillId="0" borderId="40" xfId="0" applyFont="true" applyBorder="true" applyAlignment="true" applyProtection="false">
      <alignment horizontal="center" vertical="bottom" textRotation="0" wrapText="false" indent="0" shrinkToFit="false"/>
      <protection locked="true" hidden="false"/>
    </xf>
    <xf numFmtId="164" fontId="31" fillId="0" borderId="87" xfId="0" applyFont="true" applyBorder="true" applyAlignment="true" applyProtection="false">
      <alignment horizontal="center" vertical="bottom" textRotation="0" wrapText="false" indent="0" shrinkToFit="false"/>
      <protection locked="true" hidden="false"/>
    </xf>
    <xf numFmtId="166" fontId="30" fillId="11" borderId="71" xfId="0" applyFont="true" applyBorder="true" applyAlignment="true" applyProtection="false">
      <alignment horizontal="center" vertical="bottom" textRotation="0" wrapText="false" indent="0" shrinkToFit="false"/>
      <protection locked="true" hidden="false"/>
    </xf>
    <xf numFmtId="166" fontId="30" fillId="11" borderId="88" xfId="0" applyFont="true" applyBorder="true" applyAlignment="true" applyProtection="false">
      <alignment horizontal="center" vertical="bottom" textRotation="0" wrapText="false" indent="0" shrinkToFit="false"/>
      <protection locked="true" hidden="false"/>
    </xf>
    <xf numFmtId="166" fontId="31" fillId="5" borderId="89" xfId="0" applyFont="true" applyBorder="true" applyAlignment="true" applyProtection="false">
      <alignment horizontal="center" vertical="bottom" textRotation="0" wrapText="false" indent="0" shrinkToFit="false"/>
      <protection locked="true" hidden="false"/>
    </xf>
    <xf numFmtId="166" fontId="31" fillId="5" borderId="0" xfId="0" applyFont="true" applyBorder="true" applyAlignment="true" applyProtection="false">
      <alignment horizontal="center" vertical="bottom" textRotation="0" wrapText="false" indent="0" shrinkToFit="false"/>
      <protection locked="true" hidden="false"/>
    </xf>
    <xf numFmtId="166" fontId="31" fillId="5" borderId="3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false" applyProtection="false">
      <alignment horizontal="general" vertical="bottom" textRotation="0" wrapText="false" indent="0" shrinkToFit="false"/>
      <protection locked="true" hidden="false"/>
    </xf>
    <xf numFmtId="166" fontId="31" fillId="5" borderId="90" xfId="0" applyFont="true" applyBorder="true" applyAlignment="true" applyProtection="false">
      <alignment horizontal="center" vertical="bottom" textRotation="0" wrapText="false" indent="0" shrinkToFit="false"/>
      <protection locked="true" hidden="false"/>
    </xf>
    <xf numFmtId="164" fontId="38" fillId="0" borderId="69" xfId="0" applyFont="true" applyBorder="true" applyAlignment="true" applyProtection="false">
      <alignment horizontal="left" vertical="bottom" textRotation="0" wrapText="false" indent="0" shrinkToFit="false"/>
      <protection locked="true" hidden="false"/>
    </xf>
    <xf numFmtId="164" fontId="38" fillId="0" borderId="47" xfId="0" applyFont="true" applyBorder="true" applyAlignment="true" applyProtection="false">
      <alignment horizontal="center" vertical="bottom" textRotation="0" wrapText="false" indent="0" shrinkToFit="false"/>
      <protection locked="true" hidden="false"/>
    </xf>
    <xf numFmtId="166" fontId="31" fillId="5" borderId="69" xfId="0" applyFont="true" applyBorder="true" applyAlignment="true" applyProtection="false">
      <alignment horizontal="center" vertical="bottom" textRotation="0" wrapText="false" indent="0" shrinkToFit="false"/>
      <protection locked="true" hidden="false"/>
    </xf>
    <xf numFmtId="166" fontId="30" fillId="11" borderId="15" xfId="0" applyFont="true" applyBorder="true" applyAlignment="true" applyProtection="false">
      <alignment horizontal="center" vertical="bottom" textRotation="0" wrapText="false" indent="0" shrinkToFit="false"/>
      <protection locked="true" hidden="false"/>
    </xf>
    <xf numFmtId="164" fontId="0" fillId="0" borderId="89" xfId="0" applyFont="false" applyBorder="true" applyAlignment="false" applyProtection="false">
      <alignment horizontal="general" vertical="bottom" textRotation="0" wrapText="false" indent="0" shrinkToFit="false"/>
      <protection locked="true" hidden="false"/>
    </xf>
    <xf numFmtId="166" fontId="31" fillId="5" borderId="70" xfId="0" applyFont="true" applyBorder="true" applyAlignment="true" applyProtection="false">
      <alignment horizontal="center" vertical="bottom" textRotation="0" wrapText="false" indent="0" shrinkToFit="false"/>
      <protection locked="true" hidden="false"/>
    </xf>
    <xf numFmtId="164" fontId="38" fillId="0" borderId="75" xfId="0" applyFont="true" applyBorder="true" applyAlignment="true" applyProtection="false">
      <alignment horizontal="left" vertical="bottom" textRotation="0" wrapText="false" indent="0" shrinkToFit="false"/>
      <protection locked="true" hidden="false"/>
    </xf>
    <xf numFmtId="164" fontId="31" fillId="0" borderId="56" xfId="0" applyFont="true" applyBorder="true" applyAlignment="true" applyProtection="false">
      <alignment horizontal="center" vertical="bottom" textRotation="0" wrapText="false" indent="0" shrinkToFit="false"/>
      <protection locked="true" hidden="false"/>
    </xf>
    <xf numFmtId="164" fontId="31" fillId="0" borderId="63" xfId="0" applyFont="true" applyBorder="true" applyAlignment="true" applyProtection="false">
      <alignment horizontal="center" vertical="bottom" textRotation="0" wrapText="false" indent="0" shrinkToFit="false"/>
      <protection locked="true" hidden="false"/>
    </xf>
    <xf numFmtId="166" fontId="30" fillId="11" borderId="91" xfId="0" applyFont="true" applyBorder="true" applyAlignment="true" applyProtection="false">
      <alignment horizontal="center" vertical="bottom" textRotation="0" wrapText="false" indent="0" shrinkToFit="false"/>
      <protection locked="true" hidden="false"/>
    </xf>
    <xf numFmtId="166" fontId="31" fillId="0" borderId="69" xfId="0" applyFont="true" applyBorder="true" applyAlignment="true" applyProtection="false">
      <alignment horizontal="left" vertical="bottom" textRotation="0" wrapText="false" indent="0" shrinkToFit="false"/>
      <protection locked="true" hidden="false"/>
    </xf>
    <xf numFmtId="166" fontId="31" fillId="0" borderId="55" xfId="0" applyFont="true" applyBorder="true" applyAlignment="true" applyProtection="false">
      <alignment horizontal="right" vertical="bottom" textRotation="0" wrapText="false" indent="0" shrinkToFit="false"/>
      <protection locked="true" hidden="false"/>
    </xf>
    <xf numFmtId="166" fontId="31" fillId="0" borderId="92" xfId="0" applyFont="true" applyBorder="true" applyAlignment="true" applyProtection="false">
      <alignment horizontal="left" vertical="bottom" textRotation="0" wrapText="false" indent="0" shrinkToFit="false"/>
      <protection locked="true" hidden="false"/>
    </xf>
    <xf numFmtId="166" fontId="31" fillId="0" borderId="58" xfId="0" applyFont="true" applyBorder="true" applyAlignment="true" applyProtection="false">
      <alignment horizontal="right" vertical="bottom" textRotation="0" wrapText="false" indent="0" shrinkToFit="false"/>
      <protection locked="true" hidden="false"/>
    </xf>
    <xf numFmtId="164" fontId="31" fillId="0" borderId="93" xfId="0" applyFont="true" applyBorder="true" applyAlignment="true" applyProtection="false">
      <alignment horizontal="center" vertical="bottom" textRotation="0" wrapText="false" indent="0" shrinkToFit="false"/>
      <protection locked="true" hidden="false"/>
    </xf>
    <xf numFmtId="164" fontId="31" fillId="0" borderId="94" xfId="0" applyFont="true" applyBorder="true" applyAlignment="true" applyProtection="false">
      <alignment horizontal="left" vertical="bottom" textRotation="0" wrapText="false" indent="0" shrinkToFit="false"/>
      <protection locked="true" hidden="false"/>
    </xf>
    <xf numFmtId="168" fontId="31" fillId="0" borderId="3" xfId="0" applyFont="true" applyBorder="true" applyAlignment="true" applyProtection="false">
      <alignment horizontal="center" vertical="bottom" textRotation="0" wrapText="false" indent="0" shrinkToFit="false"/>
      <protection locked="true" hidden="false"/>
    </xf>
    <xf numFmtId="164" fontId="31" fillId="0" borderId="95" xfId="0" applyFont="true" applyBorder="true" applyAlignment="true" applyProtection="false">
      <alignment horizontal="left" vertical="bottom" textRotation="0" wrapText="false" indent="0" shrinkToFit="false"/>
      <protection locked="true" hidden="false"/>
    </xf>
    <xf numFmtId="164" fontId="31" fillId="0" borderId="86" xfId="0" applyFont="true" applyBorder="true" applyAlignment="true" applyProtection="false">
      <alignment horizontal="left" vertical="bottom" textRotation="0" wrapText="false" indent="0" shrinkToFit="false"/>
      <protection locked="true" hidden="false"/>
    </xf>
    <xf numFmtId="166" fontId="30" fillId="11" borderId="96"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center" vertical="bottom" textRotation="0" wrapText="false" indent="0" shrinkToFit="false"/>
      <protection locked="true" hidden="false"/>
    </xf>
    <xf numFmtId="164" fontId="31" fillId="0" borderId="40" xfId="0" applyFont="true" applyBorder="true" applyAlignment="true" applyProtection="false">
      <alignment horizontal="right" vertical="bottom" textRotation="0" wrapText="false" indent="0" shrinkToFit="false"/>
      <protection locked="true" hidden="false"/>
    </xf>
    <xf numFmtId="164" fontId="31" fillId="0" borderId="17" xfId="0" applyFont="true" applyBorder="true" applyAlignment="true" applyProtection="false">
      <alignment horizontal="center" vertical="bottom" textRotation="0" wrapText="false" indent="0" shrinkToFit="false"/>
      <protection locked="true" hidden="false"/>
    </xf>
    <xf numFmtId="166" fontId="30" fillId="11" borderId="97"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general" vertical="bottom" textRotation="0" wrapText="false" indent="0" shrinkToFit="false"/>
      <protection locked="true" hidden="false"/>
    </xf>
    <xf numFmtId="164" fontId="31" fillId="0" borderId="56" xfId="0" applyFont="true" applyBorder="true" applyAlignment="true" applyProtection="false">
      <alignment horizontal="left" vertical="bottom" textRotation="0" wrapText="false" indent="0" shrinkToFit="false"/>
      <protection locked="true" hidden="false"/>
    </xf>
    <xf numFmtId="168" fontId="31" fillId="0" borderId="47" xfId="0" applyFont="true" applyBorder="true" applyAlignment="true" applyProtection="false">
      <alignment horizontal="center" vertical="bottom" textRotation="0" wrapText="false" indent="0" shrinkToFit="false"/>
      <protection locked="true" hidden="false"/>
    </xf>
    <xf numFmtId="164" fontId="31" fillId="0" borderId="48" xfId="0" applyFont="true" applyBorder="true" applyAlignment="true" applyProtection="false">
      <alignment horizontal="left" vertical="bottom" textRotation="0" wrapText="false" indent="0" shrinkToFit="false"/>
      <protection locked="true" hidden="false"/>
    </xf>
    <xf numFmtId="164" fontId="31" fillId="0" borderId="98" xfId="0" applyFont="true" applyBorder="true" applyAlignment="true" applyProtection="false">
      <alignment horizontal="center" vertical="bottom" textRotation="0" wrapText="false" indent="0" shrinkToFit="false"/>
      <protection locked="true" hidden="false"/>
    </xf>
    <xf numFmtId="164" fontId="31" fillId="0" borderId="50" xfId="0" applyFont="true" applyBorder="true" applyAlignment="true" applyProtection="false">
      <alignment horizontal="left" vertical="bottom" textRotation="0" wrapText="false" indent="0" shrinkToFit="false"/>
      <protection locked="true" hidden="false"/>
    </xf>
    <xf numFmtId="164" fontId="31" fillId="0" borderId="50" xfId="0" applyFont="true" applyBorder="true" applyAlignment="true" applyProtection="false">
      <alignment horizontal="center" vertical="bottom" textRotation="0" wrapText="false" indent="0" shrinkToFit="false"/>
      <protection locked="true" hidden="false"/>
    </xf>
    <xf numFmtId="164" fontId="38" fillId="0" borderId="50" xfId="0" applyFont="true" applyBorder="true" applyAlignment="true" applyProtection="false">
      <alignment horizontal="left" vertical="bottom" textRotation="0" wrapText="false" indent="0" shrinkToFit="false"/>
      <protection locked="true" hidden="false"/>
    </xf>
    <xf numFmtId="168" fontId="38" fillId="0" borderId="93" xfId="0" applyFont="true" applyBorder="true" applyAlignment="true" applyProtection="false">
      <alignment horizontal="center" vertical="bottom" textRotation="0" wrapText="false" indent="0" shrinkToFit="false"/>
      <protection locked="true" hidden="false"/>
    </xf>
    <xf numFmtId="164" fontId="39" fillId="0" borderId="33" xfId="0" applyFont="true" applyBorder="true" applyAlignment="true" applyProtection="false">
      <alignment horizontal="center" vertical="bottom" textRotation="0" wrapText="false" indent="0" shrinkToFit="false"/>
      <protection locked="true" hidden="false"/>
    </xf>
    <xf numFmtId="166" fontId="31" fillId="0" borderId="99" xfId="0" applyFont="true" applyBorder="true" applyAlignment="true" applyProtection="false">
      <alignment horizontal="center" vertical="center" textRotation="0" wrapText="false" indent="0" shrinkToFit="false"/>
      <protection locked="true" hidden="false"/>
    </xf>
    <xf numFmtId="164" fontId="31" fillId="0" borderId="23" xfId="0" applyFont="true" applyBorder="true" applyAlignment="true" applyProtection="false">
      <alignment horizontal="center" vertical="center" textRotation="0" wrapText="false" indent="0" shrinkToFit="false"/>
      <protection locked="true" hidden="false"/>
    </xf>
    <xf numFmtId="164" fontId="30" fillId="11" borderId="18" xfId="0" applyFont="true" applyBorder="true" applyAlignment="true" applyProtection="false">
      <alignment horizontal="center" vertical="bottom" textRotation="0" wrapText="false" indent="0" shrinkToFit="false"/>
      <protection locked="true" hidden="false"/>
    </xf>
    <xf numFmtId="164" fontId="31" fillId="5" borderId="47" xfId="0" applyFont="true" applyBorder="true" applyAlignment="true" applyProtection="false">
      <alignment horizontal="center" vertical="bottom" textRotation="0" wrapText="false" indent="0" shrinkToFit="false"/>
      <protection locked="true" hidden="false"/>
    </xf>
    <xf numFmtId="164" fontId="31" fillId="0" borderId="100" xfId="0" applyFont="true" applyBorder="true" applyAlignment="true" applyProtection="false">
      <alignment horizontal="left" vertical="top" textRotation="0" wrapText="true" indent="0" shrinkToFit="false"/>
      <protection locked="true" hidden="false"/>
    </xf>
    <xf numFmtId="164" fontId="31" fillId="0" borderId="101" xfId="0" applyFont="true" applyBorder="true" applyAlignment="true" applyProtection="false">
      <alignment horizontal="left" vertical="top" textRotation="0" wrapText="true" indent="0" shrinkToFit="false"/>
      <protection locked="true" hidden="false"/>
    </xf>
    <xf numFmtId="164" fontId="31" fillId="5" borderId="4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left" vertical="top" textRotation="0" wrapText="true" indent="0" shrinkToFit="false"/>
      <protection locked="true" hidden="false"/>
    </xf>
    <xf numFmtId="164" fontId="31" fillId="5" borderId="34" xfId="0" applyFont="true" applyBorder="true" applyAlignment="true" applyProtection="false">
      <alignment horizontal="center" vertical="bottom" textRotation="0" wrapText="false" indent="0" shrinkToFit="false"/>
      <protection locked="true" hidden="false"/>
    </xf>
    <xf numFmtId="164" fontId="31" fillId="5" borderId="44" xfId="0" applyFont="true" applyBorder="true" applyAlignment="true" applyProtection="false">
      <alignment horizontal="center" vertical="bottom" textRotation="0" wrapText="false" indent="0" shrinkToFit="false"/>
      <protection locked="true" hidden="false"/>
    </xf>
    <xf numFmtId="164" fontId="31" fillId="5" borderId="53"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30" fillId="11" borderId="60" xfId="0" applyFont="true" applyBorder="true" applyAlignment="true" applyProtection="false">
      <alignment horizontal="center" vertical="bottom" textRotation="0" wrapText="false" indent="0" shrinkToFit="false"/>
      <protection locked="true" hidden="false"/>
    </xf>
    <xf numFmtId="164" fontId="31" fillId="0" borderId="33" xfId="0" applyFont="true" applyBorder="true" applyAlignment="true" applyProtection="false">
      <alignment horizontal="left" vertical="top" textRotation="0" wrapText="true" indent="0" shrinkToFit="false"/>
      <protection locked="true" hidden="false"/>
    </xf>
    <xf numFmtId="164" fontId="31" fillId="0" borderId="43" xfId="0" applyFont="true" applyBorder="true" applyAlignment="true" applyProtection="false">
      <alignment horizontal="left" vertical="top" textRotation="0" wrapText="false" indent="0" shrinkToFit="false"/>
      <protection locked="true" hidden="false"/>
    </xf>
    <xf numFmtId="164" fontId="31" fillId="0" borderId="54" xfId="0" applyFont="true" applyBorder="true" applyAlignment="true" applyProtection="false">
      <alignment horizontal="left" vertical="top" textRotation="0" wrapText="false" indent="0" shrinkToFit="false"/>
      <protection locked="true" hidden="false"/>
    </xf>
    <xf numFmtId="164" fontId="31" fillId="0" borderId="60"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0" borderId="43" xfId="0" applyFont="true" applyBorder="true" applyAlignment="true" applyProtection="false">
      <alignment horizontal="center" vertical="bottom" textRotation="0" wrapText="false" indent="0" shrinkToFit="false"/>
      <protection locked="true" hidden="false"/>
    </xf>
    <xf numFmtId="164" fontId="40" fillId="0" borderId="46" xfId="0" applyFont="true" applyBorder="true" applyAlignment="false" applyProtection="false">
      <alignment horizontal="general" vertical="bottom" textRotation="0" wrapText="false" indent="0" shrinkToFit="false"/>
      <protection locked="true" hidden="false"/>
    </xf>
    <xf numFmtId="166" fontId="31" fillId="0" borderId="40"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center" vertical="center" textRotation="0" wrapText="false" indent="0" shrinkToFit="false"/>
      <protection locked="true" hidden="false"/>
    </xf>
    <xf numFmtId="164" fontId="30" fillId="11" borderId="54" xfId="0" applyFont="true" applyBorder="true" applyAlignment="true" applyProtection="false">
      <alignment horizontal="center" vertical="center" textRotation="0" wrapText="false" indent="0" shrinkToFit="false"/>
      <protection locked="true" hidden="false"/>
    </xf>
    <xf numFmtId="164" fontId="31" fillId="5" borderId="15" xfId="0" applyFont="true" applyBorder="true" applyAlignment="true" applyProtection="false">
      <alignment horizontal="center" vertical="center" textRotation="0" wrapText="false" indent="0" shrinkToFit="false"/>
      <protection locked="true" hidden="false"/>
    </xf>
    <xf numFmtId="164" fontId="31" fillId="5" borderId="16" xfId="0" applyFont="true" applyBorder="true" applyAlignment="true" applyProtection="false">
      <alignment horizontal="left" vertical="center" textRotation="0" wrapText="false" indent="0" shrinkToFit="false"/>
      <protection locked="true" hidden="false"/>
    </xf>
    <xf numFmtId="164" fontId="31" fillId="5" borderId="16" xfId="0" applyFont="true" applyBorder="true" applyAlignment="true" applyProtection="false">
      <alignment horizontal="center" vertical="center" textRotation="0" wrapText="false" indent="0" shrinkToFit="false"/>
      <protection locked="true" hidden="false"/>
    </xf>
    <xf numFmtId="164" fontId="41"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center" vertical="center" textRotation="0" wrapText="false" indent="0" shrinkToFit="false"/>
      <protection locked="true" hidden="false"/>
    </xf>
    <xf numFmtId="164" fontId="31" fillId="0" borderId="56" xfId="0" applyFont="true" applyBorder="true" applyAlignment="true" applyProtection="false">
      <alignment horizontal="general" vertical="center" textRotation="0" wrapText="false" indent="0" shrinkToFit="false"/>
      <protection locked="true" hidden="false"/>
    </xf>
    <xf numFmtId="164" fontId="31" fillId="0" borderId="56" xfId="0" applyFont="true" applyBorder="true" applyAlignment="true" applyProtection="false">
      <alignment horizontal="center" vertical="center" textRotation="0" wrapText="false" indent="0" shrinkToFit="false"/>
      <protection locked="true" hidden="false"/>
    </xf>
    <xf numFmtId="164" fontId="31" fillId="0" borderId="63" xfId="0" applyFont="true" applyBorder="true" applyAlignment="true" applyProtection="false">
      <alignment horizontal="center" vertical="center" textRotation="0" wrapText="false" indent="0" shrinkToFit="false"/>
      <protection locked="true" hidden="false"/>
    </xf>
    <xf numFmtId="164" fontId="31" fillId="0" borderId="102" xfId="0" applyFont="true" applyBorder="true" applyAlignment="true" applyProtection="false">
      <alignment horizontal="center" vertical="center" textRotation="0" wrapText="false" indent="0" shrinkToFit="false"/>
      <protection locked="true" hidden="false"/>
    </xf>
    <xf numFmtId="164" fontId="31" fillId="0" borderId="103" xfId="0" applyFont="true" applyBorder="true" applyAlignment="true" applyProtection="false">
      <alignment horizontal="center" vertical="center" textRotation="0" wrapText="false" indent="0" shrinkToFit="false"/>
      <protection locked="true" hidden="false"/>
    </xf>
    <xf numFmtId="164" fontId="31" fillId="0" borderId="64" xfId="0" applyFont="true" applyBorder="true" applyAlignment="true" applyProtection="false">
      <alignment horizontal="center" vertical="center" textRotation="0" wrapText="false" indent="0" shrinkToFit="false"/>
      <protection locked="true" hidden="false"/>
    </xf>
    <xf numFmtId="164" fontId="31" fillId="0" borderId="104" xfId="0" applyFont="true" applyBorder="true" applyAlignment="true" applyProtection="false">
      <alignment horizontal="center" vertical="center" textRotation="0" wrapText="false" indent="0" shrinkToFit="false"/>
      <protection locked="true" hidden="false"/>
    </xf>
    <xf numFmtId="164" fontId="31" fillId="0" borderId="48" xfId="0" applyFont="true" applyBorder="true" applyAlignment="true" applyProtection="false">
      <alignment horizontal="center" vertical="center" textRotation="0" wrapText="false" indent="0" shrinkToFit="false"/>
      <protection locked="true" hidden="false"/>
    </xf>
    <xf numFmtId="164" fontId="31" fillId="0" borderId="50" xfId="0" applyFont="true" applyBorder="true" applyAlignment="true" applyProtection="false">
      <alignment horizontal="general" vertical="center" textRotation="0" wrapText="false" indent="0" shrinkToFit="false"/>
      <protection locked="true" hidden="false"/>
    </xf>
    <xf numFmtId="164" fontId="31" fillId="0" borderId="50" xfId="0" applyFont="true" applyBorder="true" applyAlignment="true" applyProtection="false">
      <alignment horizontal="center" vertical="center" textRotation="0" wrapText="false" indent="0" shrinkToFit="false"/>
      <protection locked="true" hidden="false"/>
    </xf>
    <xf numFmtId="164" fontId="31" fillId="0" borderId="52" xfId="0" applyFont="true" applyBorder="true" applyAlignment="true" applyProtection="false">
      <alignment horizontal="center" vertical="center" textRotation="0" wrapText="false" indent="0" shrinkToFit="false"/>
      <protection locked="true" hidden="false"/>
    </xf>
    <xf numFmtId="164" fontId="31" fillId="0" borderId="105" xfId="0" applyFont="true" applyBorder="true" applyAlignment="true" applyProtection="false">
      <alignment horizontal="center" vertical="center" textRotation="0" wrapText="false" indent="0" shrinkToFit="false"/>
      <protection locked="true" hidden="false"/>
    </xf>
    <xf numFmtId="164" fontId="31" fillId="0" borderId="58"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center" vertical="center" textRotation="0" wrapText="false" indent="0" shrinkToFit="false"/>
      <protection locked="true" hidden="false"/>
    </xf>
    <xf numFmtId="164" fontId="33"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left" vertical="center" textRotation="0" wrapText="false" indent="0" shrinkToFit="false"/>
      <protection locked="true" hidden="false"/>
    </xf>
    <xf numFmtId="164" fontId="31" fillId="0" borderId="106"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left" vertical="center" textRotation="0" wrapText="false" indent="0" shrinkToFit="false"/>
      <protection locked="true" hidden="false"/>
    </xf>
    <xf numFmtId="164" fontId="31" fillId="0" borderId="98" xfId="0" applyFont="true" applyBorder="true" applyAlignment="true" applyProtection="false">
      <alignment horizontal="general" vertical="center" textRotation="0" wrapText="false" indent="0" shrinkToFit="false"/>
      <protection locked="true" hidden="false"/>
    </xf>
    <xf numFmtId="164" fontId="31" fillId="0" borderId="98" xfId="0" applyFont="true" applyBorder="true" applyAlignment="true" applyProtection="false">
      <alignment horizontal="center" vertical="center" textRotation="0" wrapText="false" indent="0" shrinkToFit="false"/>
      <protection locked="true" hidden="false"/>
    </xf>
    <xf numFmtId="164" fontId="31" fillId="0" borderId="107" xfId="0" applyFont="true" applyBorder="true" applyAlignment="true" applyProtection="false">
      <alignment horizontal="center" vertical="center" textRotation="0" wrapText="false" indent="0" shrinkToFit="false"/>
      <protection locked="true" hidden="false"/>
    </xf>
    <xf numFmtId="164" fontId="31" fillId="0" borderId="59"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left" vertical="center" textRotation="0" wrapText="false" indent="0" shrinkToFit="false"/>
      <protection locked="true" hidden="false"/>
    </xf>
    <xf numFmtId="164" fontId="31" fillId="0" borderId="108"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general" vertical="center" textRotation="0" wrapText="false" indent="0" shrinkToFit="false"/>
      <protection locked="true" hidden="false"/>
    </xf>
    <xf numFmtId="164" fontId="31" fillId="0" borderId="109" xfId="0" applyFont="true" applyBorder="true" applyAlignment="true" applyProtection="false">
      <alignment horizontal="center" vertical="center" textRotation="0" wrapText="false" indent="0" shrinkToFit="false"/>
      <protection locked="true" hidden="false"/>
    </xf>
    <xf numFmtId="164" fontId="31" fillId="0" borderId="55" xfId="0" applyFont="true" applyBorder="true" applyAlignment="true" applyProtection="false">
      <alignment horizontal="center" vertical="center" textRotation="0" wrapText="false" indent="0" shrinkToFit="false"/>
      <protection locked="true" hidden="false"/>
    </xf>
    <xf numFmtId="164" fontId="31" fillId="5" borderId="46" xfId="0" applyFont="true" applyBorder="true" applyAlignment="true" applyProtection="false">
      <alignment horizontal="center" vertical="center" textRotation="0" wrapText="false" indent="0" shrinkToFit="false"/>
      <protection locked="true" hidden="false"/>
    </xf>
    <xf numFmtId="164" fontId="31" fillId="5" borderId="45" xfId="0" applyFont="true" applyBorder="true" applyAlignment="true" applyProtection="false">
      <alignment horizontal="left" vertical="center" textRotation="0" wrapText="false" indent="0" shrinkToFit="false"/>
      <protection locked="true" hidden="false"/>
    </xf>
    <xf numFmtId="164" fontId="31" fillId="0" borderId="75" xfId="0" applyFont="true" applyBorder="true" applyAlignment="true" applyProtection="false">
      <alignment horizontal="center" vertical="center" textRotation="0" wrapText="false" indent="0" shrinkToFit="false"/>
      <protection locked="true" hidden="false"/>
    </xf>
    <xf numFmtId="164" fontId="31" fillId="0" borderId="44" xfId="0" applyFont="true" applyBorder="true" applyAlignment="true" applyProtection="false">
      <alignment horizontal="center" vertical="center" textRotation="0" wrapText="false" indent="0" shrinkToFit="false"/>
      <protection locked="true" hidden="false"/>
    </xf>
    <xf numFmtId="164" fontId="31" fillId="0" borderId="110" xfId="0" applyFont="true" applyBorder="true" applyAlignment="true" applyProtection="false">
      <alignment horizontal="center" vertical="center" textRotation="0" wrapText="false" indent="0" shrinkToFit="false"/>
      <protection locked="true" hidden="false"/>
    </xf>
    <xf numFmtId="164" fontId="31" fillId="5" borderId="40"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false" indent="0" shrinkToFit="false"/>
      <protection locked="true" hidden="false"/>
    </xf>
    <xf numFmtId="164" fontId="30" fillId="11" borderId="47" xfId="0" applyFont="true" applyBorder="true" applyAlignment="true" applyProtection="false">
      <alignment horizontal="center" vertical="bottom" textRotation="0" wrapText="false" indent="0" shrinkToFit="false"/>
      <protection locked="true" hidden="false"/>
    </xf>
    <xf numFmtId="164" fontId="31" fillId="0" borderId="54" xfId="0" applyFont="true" applyBorder="true" applyAlignment="false" applyProtection="false">
      <alignment horizontal="general" vertical="bottom" textRotation="0" wrapText="false" indent="0" shrinkToFit="false"/>
      <protection locked="true" hidden="false"/>
    </xf>
    <xf numFmtId="164" fontId="31" fillId="0" borderId="17" xfId="0" applyFont="true" applyBorder="true" applyAlignment="false" applyProtection="false">
      <alignment horizontal="general" vertical="bottom" textRotation="0" wrapText="false" indent="0" shrinkToFit="false"/>
      <protection locked="true" hidden="false"/>
    </xf>
    <xf numFmtId="164" fontId="31" fillId="0" borderId="55" xfId="0" applyFont="true" applyBorder="true" applyAlignment="false" applyProtection="false">
      <alignment horizontal="general" vertical="bottom" textRotation="0" wrapText="false" indent="0" shrinkToFit="false"/>
      <protection locked="true" hidden="false"/>
    </xf>
    <xf numFmtId="164" fontId="31" fillId="0" borderId="47" xfId="0" applyFont="true" applyBorder="true" applyAlignment="fals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general" vertical="bottom" textRotation="0" wrapText="false" indent="0" shrinkToFit="false"/>
      <protection locked="true" hidden="false"/>
    </xf>
    <xf numFmtId="164" fontId="31" fillId="0" borderId="47" xfId="0" applyFont="tru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31" fillId="0" borderId="111" xfId="0" applyFont="true" applyBorder="true" applyAlignment="false" applyProtection="false">
      <alignment horizontal="general" vertical="bottom" textRotation="0" wrapText="false" indent="0" shrinkToFit="false"/>
      <protection locked="true" hidden="false"/>
    </xf>
    <xf numFmtId="164" fontId="31" fillId="0" borderId="62" xfId="0" applyFont="true" applyBorder="true" applyAlignment="false" applyProtection="false">
      <alignment horizontal="general" vertical="bottom" textRotation="0" wrapText="false" indent="0" shrinkToFit="false"/>
      <protection locked="true" hidden="false"/>
    </xf>
    <xf numFmtId="164" fontId="43" fillId="5" borderId="46" xfId="0" applyFont="true" applyBorder="true" applyAlignment="true" applyProtection="false">
      <alignment horizontal="general" vertical="top" textRotation="0" wrapText="false" indent="0" shrinkToFit="false"/>
      <protection locked="true" hidden="false"/>
    </xf>
    <xf numFmtId="164" fontId="31" fillId="5" borderId="47"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false" applyProtection="false">
      <alignment horizontal="general" vertical="bottom" textRotation="0" wrapText="false" indent="0" shrinkToFit="false"/>
      <protection locked="true" hidden="false"/>
    </xf>
    <xf numFmtId="164" fontId="31" fillId="0" borderId="48" xfId="0" applyFont="true" applyBorder="true" applyAlignment="false" applyProtection="false">
      <alignment horizontal="general" vertical="bottom" textRotation="0" wrapText="false" indent="0" shrinkToFit="false"/>
      <protection locked="true" hidden="false"/>
    </xf>
    <xf numFmtId="164" fontId="31" fillId="0" borderId="93" xfId="0" applyFont="true" applyBorder="true" applyAlignment="false" applyProtection="false">
      <alignment horizontal="general" vertical="bottom" textRotation="0" wrapText="false" indent="0" shrinkToFit="false"/>
      <protection locked="true" hidden="false"/>
    </xf>
    <xf numFmtId="164" fontId="31" fillId="0" borderId="60" xfId="0" applyFont="true" applyBorder="true" applyAlignment="false" applyProtection="false">
      <alignment horizontal="general" vertical="bottom" textRotation="0" wrapText="false" indent="0" shrinkToFit="false"/>
      <protection locked="true" hidden="false"/>
    </xf>
    <xf numFmtId="164" fontId="31" fillId="0" borderId="59" xfId="0" applyFont="true" applyBorder="true" applyAlignment="false" applyProtection="false">
      <alignment horizontal="general" vertical="bottom" textRotation="0" wrapText="false" indent="0" shrinkToFit="false"/>
      <protection locked="true" hidden="false"/>
    </xf>
    <xf numFmtId="164" fontId="31" fillId="0" borderId="51" xfId="0" applyFont="true" applyBorder="true" applyAlignment="false" applyProtection="false">
      <alignment horizontal="general" vertical="bottom" textRotation="0" wrapText="false" indent="0" shrinkToFit="false"/>
      <protection locked="true" hidden="false"/>
    </xf>
    <xf numFmtId="164" fontId="31" fillId="0" borderId="49"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true" applyProtection="false">
      <alignment horizontal="general" vertical="bottom" textRotation="0" wrapText="false" indent="0" shrinkToFit="false"/>
      <protection locked="true" hidden="false"/>
    </xf>
    <xf numFmtId="164" fontId="30" fillId="11" borderId="112" xfId="0" applyFont="true" applyBorder="true" applyAlignment="true" applyProtection="false">
      <alignment horizontal="center" vertical="bottom" textRotation="0" wrapText="false" indent="0" shrinkToFit="false"/>
      <protection locked="true" hidden="false"/>
    </xf>
    <xf numFmtId="164" fontId="31" fillId="0" borderId="113" xfId="0" applyFont="true" applyBorder="true" applyAlignment="false" applyProtection="false">
      <alignment horizontal="general" vertical="bottom" textRotation="0" wrapText="false" indent="0" shrinkToFit="false"/>
      <protection locked="true" hidden="false"/>
    </xf>
    <xf numFmtId="164" fontId="31" fillId="0" borderId="75" xfId="0" applyFont="true" applyBorder="true" applyAlignment="true" applyProtection="false">
      <alignment horizontal="general" vertical="bottom" textRotation="0" wrapText="false" indent="0" shrinkToFit="false"/>
      <protection locked="true" hidden="false"/>
    </xf>
    <xf numFmtId="164" fontId="31" fillId="0" borderId="49" xfId="0" applyFont="true" applyBorder="true" applyAlignment="true" applyProtection="false">
      <alignment horizontal="general" vertical="bottom" textRotation="0" wrapText="false" indent="0" shrinkToFit="false"/>
      <protection locked="true" hidden="false"/>
    </xf>
    <xf numFmtId="164" fontId="31" fillId="0" borderId="18" xfId="0" applyFont="true" applyBorder="true" applyAlignment="false" applyProtection="false">
      <alignment horizontal="general" vertical="bottom" textRotation="0" wrapText="false" indent="0" shrinkToFit="false"/>
      <protection locked="true" hidden="false"/>
    </xf>
    <xf numFmtId="164" fontId="31" fillId="0" borderId="69"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31" fillId="0" borderId="114" xfId="0" applyFont="tru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31" fillId="0" borderId="115" xfId="0" applyFont="true" applyBorder="true" applyAlignment="false" applyProtection="false">
      <alignment horizontal="general" vertical="bottom" textRotation="0" wrapText="false" indent="0" shrinkToFit="false"/>
      <protection locked="true" hidden="false"/>
    </xf>
    <xf numFmtId="164" fontId="31" fillId="0" borderId="84" xfId="0" applyFont="true" applyBorder="true" applyAlignment="false" applyProtection="false">
      <alignment horizontal="general" vertical="bottom" textRotation="0" wrapText="false" indent="0" shrinkToFit="false"/>
      <protection locked="true" hidden="false"/>
    </xf>
    <xf numFmtId="164" fontId="31" fillId="0" borderId="67" xfId="0" applyFont="true" applyBorder="true" applyAlignment="false" applyProtection="false">
      <alignment horizontal="general" vertical="bottom" textRotation="0" wrapText="false" indent="0" shrinkToFit="false"/>
      <protection locked="true" hidden="false"/>
    </xf>
    <xf numFmtId="164" fontId="31" fillId="0" borderId="116" xfId="0" applyFont="true" applyBorder="true" applyAlignment="false" applyProtection="false">
      <alignment horizontal="general" vertical="bottom" textRotation="0" wrapText="false" indent="0" shrinkToFit="false"/>
      <protection locked="true" hidden="false"/>
    </xf>
    <xf numFmtId="164" fontId="38" fillId="0" borderId="117" xfId="0" applyFont="true" applyBorder="true" applyAlignment="false" applyProtection="false">
      <alignment horizontal="general" vertical="bottom" textRotation="0" wrapText="false" indent="0" shrinkToFit="false"/>
      <protection locked="true" hidden="false"/>
    </xf>
    <xf numFmtId="164" fontId="31" fillId="0" borderId="97" xfId="0" applyFont="true" applyBorder="true" applyAlignment="false" applyProtection="false">
      <alignment horizontal="general" vertical="bottom" textRotation="0" wrapText="false" indent="0" shrinkToFit="false"/>
      <protection locked="true" hidden="false"/>
    </xf>
    <xf numFmtId="164" fontId="31" fillId="0" borderId="65" xfId="0" applyFont="true" applyBorder="true" applyAlignment="true" applyProtection="false">
      <alignment horizontal="general" vertical="bottom" textRotation="0" wrapText="false" indent="0" shrinkToFit="false"/>
      <protection locked="true" hidden="false"/>
    </xf>
    <xf numFmtId="164" fontId="0" fillId="0" borderId="65" xfId="0" applyFont="false" applyBorder="true" applyAlignment="true" applyProtection="false">
      <alignment horizontal="center" vertical="bottom" textRotation="0" wrapText="false" indent="0" shrinkToFit="false"/>
      <protection locked="true" hidden="false"/>
    </xf>
    <xf numFmtId="164" fontId="30" fillId="11" borderId="96" xfId="0" applyFont="true" applyBorder="true" applyAlignment="true" applyProtection="false">
      <alignment horizontal="center" vertical="bottom" textRotation="0" wrapText="false" indent="0" shrinkToFit="false"/>
      <protection locked="true" hidden="false"/>
    </xf>
    <xf numFmtId="164" fontId="31" fillId="0" borderId="118" xfId="0" applyFont="true" applyBorder="true" applyAlignment="false" applyProtection="false">
      <alignment horizontal="general" vertical="bottom" textRotation="0" wrapText="false" indent="0" shrinkToFit="false"/>
      <protection locked="true" hidden="false"/>
    </xf>
    <xf numFmtId="164" fontId="31" fillId="0" borderId="87" xfId="0" applyFont="true" applyBorder="true" applyAlignment="false" applyProtection="false">
      <alignment horizontal="general" vertical="bottom" textRotation="0" wrapText="false" indent="0" shrinkToFit="false"/>
      <protection locked="true" hidden="false"/>
    </xf>
    <xf numFmtId="164" fontId="30" fillId="11" borderId="95" xfId="0" applyFont="true" applyBorder="true" applyAlignment="true" applyProtection="false">
      <alignment horizontal="center" vertical="bottom" textRotation="0" wrapText="false" indent="0" shrinkToFit="false"/>
      <protection locked="true" hidden="false"/>
    </xf>
    <xf numFmtId="164" fontId="30" fillId="11" borderId="90"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general" vertical="bottom" textRotation="0" wrapText="false" indent="0" shrinkToFit="false"/>
      <protection locked="true" hidden="false"/>
    </xf>
    <xf numFmtId="164" fontId="31" fillId="0" borderId="55" xfId="0" applyFont="true" applyBorder="true" applyAlignment="true" applyProtection="false">
      <alignment horizontal="left" vertical="bottom" textRotation="0" wrapText="false" indent="0" shrinkToFit="false"/>
      <protection locked="true" hidden="false"/>
    </xf>
    <xf numFmtId="164" fontId="31" fillId="0" borderId="41" xfId="0" applyFont="true" applyBorder="true" applyAlignment="true" applyProtection="false">
      <alignment horizontal="left" vertical="bottom" textRotation="0" wrapText="false" indent="0" shrinkToFit="false"/>
      <protection locked="true" hidden="false"/>
    </xf>
    <xf numFmtId="164" fontId="30" fillId="11" borderId="111" xfId="0" applyFont="true" applyBorder="true" applyAlignment="true" applyProtection="false">
      <alignment horizontal="center" vertical="bottom" textRotation="0" wrapText="false" indent="0" shrinkToFit="false"/>
      <protection locked="true" hidden="false"/>
    </xf>
    <xf numFmtId="164" fontId="31" fillId="5" borderId="24" xfId="0" applyFont="true" applyBorder="true" applyAlignment="true" applyProtection="false">
      <alignment horizontal="left" vertical="bottom" textRotation="0" wrapText="false" indent="0" shrinkToFit="false"/>
      <protection locked="true" hidden="false"/>
    </xf>
    <xf numFmtId="164" fontId="31" fillId="5" borderId="19" xfId="0" applyFont="true" applyBorder="true" applyAlignment="true" applyProtection="false">
      <alignment horizontal="center" vertical="bottom" textRotation="0" wrapText="false" indent="0" shrinkToFit="false"/>
      <protection locked="true" hidden="false"/>
    </xf>
    <xf numFmtId="164" fontId="31" fillId="5" borderId="35" xfId="0" applyFont="true" applyBorder="true" applyAlignment="true" applyProtection="false">
      <alignment horizontal="center" vertical="bottom" textRotation="0" wrapText="false" indent="0" shrinkToFit="false"/>
      <protection locked="true" hidden="false"/>
    </xf>
    <xf numFmtId="164" fontId="30" fillId="11" borderId="17"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left" vertical="bottom" textRotation="0" wrapText="false" indent="0" shrinkToFit="false"/>
      <protection locked="true" hidden="false"/>
    </xf>
    <xf numFmtId="164" fontId="31" fillId="5" borderId="17" xfId="0" applyFont="true" applyBorder="true" applyAlignment="true" applyProtection="false">
      <alignment horizontal="center" vertical="bottom" textRotation="0" wrapText="false" indent="0" shrinkToFit="false"/>
      <protection locked="true" hidden="false"/>
    </xf>
    <xf numFmtId="164" fontId="30" fillId="11" borderId="55" xfId="0" applyFont="true" applyBorder="true" applyAlignment="true" applyProtection="false">
      <alignment horizontal="center" vertical="bottom" textRotation="0" wrapText="false" indent="0" shrinkToFit="false"/>
      <protection locked="true" hidden="false"/>
    </xf>
    <xf numFmtId="164" fontId="31" fillId="0" borderId="55" xfId="0" applyFont="true" applyBorder="true" applyAlignment="true" applyProtection="false">
      <alignment horizontal="center" vertical="bottom" textRotation="0" wrapText="false" indent="0" shrinkToFit="false"/>
      <protection locked="true" hidden="false"/>
    </xf>
    <xf numFmtId="164" fontId="31" fillId="0" borderId="119" xfId="0" applyFont="true" applyBorder="true" applyAlignment="true" applyProtection="false">
      <alignment horizontal="left" vertical="bottom" textRotation="0" wrapText="false" indent="0" shrinkToFit="false"/>
      <protection locked="true" hidden="false"/>
    </xf>
    <xf numFmtId="164" fontId="31" fillId="0" borderId="120" xfId="0" applyFont="true" applyBorder="true" applyAlignment="true" applyProtection="false">
      <alignment horizontal="center" vertical="bottom" textRotation="0" wrapText="false" indent="0" shrinkToFit="false"/>
      <protection locked="true" hidden="false"/>
    </xf>
    <xf numFmtId="164" fontId="31" fillId="0" borderId="79" xfId="0" applyFont="true" applyBorder="true" applyAlignment="true" applyProtection="false">
      <alignment horizontal="center" vertical="bottom" textRotation="0" wrapText="false" indent="0" shrinkToFit="false"/>
      <protection locked="true" hidden="false"/>
    </xf>
    <xf numFmtId="164" fontId="31" fillId="0" borderId="80" xfId="0" applyFont="true" applyBorder="true" applyAlignment="true" applyProtection="false">
      <alignment horizontal="center" vertical="bottom" textRotation="0" wrapText="false" indent="0" shrinkToFit="false"/>
      <protection locked="true" hidden="false"/>
    </xf>
    <xf numFmtId="164" fontId="0" fillId="0" borderId="56" xfId="0" applyFont="false" applyBorder="true" applyAlignment="true" applyProtection="false">
      <alignment horizontal="center" vertical="bottom" textRotation="0" wrapText="false" indent="0" shrinkToFit="false"/>
      <protection locked="true" hidden="false"/>
    </xf>
    <xf numFmtId="164" fontId="31" fillId="0" borderId="121" xfId="0" applyFont="true" applyBorder="true" applyAlignment="false" applyProtection="false">
      <alignment horizontal="general" vertical="bottom" textRotation="0" wrapText="false" indent="0" shrinkToFit="false"/>
      <protection locked="true" hidden="false"/>
    </xf>
    <xf numFmtId="164" fontId="38" fillId="0" borderId="91" xfId="0" applyFont="true" applyBorder="true" applyAlignment="false" applyProtection="false">
      <alignment horizontal="general" vertical="bottom" textRotation="0" wrapText="false" indent="0" shrinkToFit="false"/>
      <protection locked="true" hidden="false"/>
    </xf>
    <xf numFmtId="164" fontId="31" fillId="5" borderId="16" xfId="0" applyFont="true" applyBorder="true" applyAlignment="true" applyProtection="false">
      <alignment horizontal="general" vertical="bottom" textRotation="0" wrapText="false" indent="0" shrinkToFit="false"/>
      <protection locked="true" hidden="false"/>
    </xf>
    <xf numFmtId="164" fontId="31" fillId="5" borderId="70" xfId="0" applyFont="true" applyBorder="true" applyAlignment="true" applyProtection="false">
      <alignment horizontal="general" vertical="bottom" textRotation="0" wrapText="false" indent="0" shrinkToFit="false"/>
      <protection locked="true" hidden="false"/>
    </xf>
    <xf numFmtId="164" fontId="0" fillId="0" borderId="65"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true" applyProtection="false">
      <alignment horizontal="left" vertical="bottom" textRotation="0" wrapText="false" indent="0" shrinkToFit="false"/>
      <protection locked="true" hidden="false"/>
    </xf>
    <xf numFmtId="164" fontId="24" fillId="0" borderId="40" xfId="0" applyFont="true" applyBorder="true" applyAlignment="true" applyProtection="false">
      <alignment horizontal="center" vertical="bottom" textRotation="0" wrapText="false" indent="0" shrinkToFit="false"/>
      <protection locked="true" hidden="false"/>
    </xf>
    <xf numFmtId="164" fontId="24" fillId="0" borderId="45" xfId="0" applyFont="true" applyBorder="true" applyAlignment="true" applyProtection="false">
      <alignment horizontal="center" vertical="bottom" textRotation="0" wrapText="false" indent="0" shrinkToFit="false"/>
      <protection locked="true" hidden="false"/>
    </xf>
    <xf numFmtId="164" fontId="24" fillId="0" borderId="55"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false" applyProtection="false">
      <alignment horizontal="general" vertical="bottom" textRotation="0" wrapText="false" indent="0" shrinkToFit="false"/>
      <protection locked="true" hidden="false"/>
    </xf>
    <xf numFmtId="164" fontId="0" fillId="0" borderId="67" xfId="0" applyFont="true" applyBorder="true" applyAlignment="true" applyProtection="false">
      <alignment horizontal="left" vertical="bottom" textRotation="0" wrapText="false" indent="0" shrinkToFit="false"/>
      <protection locked="true" hidden="false"/>
    </xf>
    <xf numFmtId="164" fontId="44" fillId="0" borderId="65" xfId="0" applyFont="tru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center" vertical="bottom" textRotation="0" wrapText="false" indent="0" shrinkToFit="false"/>
      <protection locked="true" hidden="false"/>
    </xf>
    <xf numFmtId="164" fontId="24" fillId="0" borderId="62" xfId="21" applyFont="true" applyBorder="true" applyAlignment="true" applyProtection="true">
      <alignment horizontal="center" vertical="bottom" textRotation="0" wrapText="false" indent="0" shrinkToFit="false"/>
      <protection locked="true" hidden="false"/>
    </xf>
    <xf numFmtId="164" fontId="24" fillId="0" borderId="56"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false" applyProtection="false">
      <alignment horizontal="general" vertical="bottom" textRotation="0" wrapText="false" indent="0" shrinkToFit="false"/>
      <protection locked="true" hidden="false"/>
    </xf>
    <xf numFmtId="164" fontId="44" fillId="0" borderId="67" xfId="0" applyFont="true" applyBorder="true" applyAlignment="true" applyProtection="false">
      <alignment horizontal="left" vertical="bottom" textRotation="0" wrapText="false" indent="0" shrinkToFit="false"/>
      <protection locked="true" hidden="false"/>
    </xf>
    <xf numFmtId="164" fontId="0" fillId="0" borderId="65" xfId="0" applyFont="true" applyBorder="true" applyAlignment="true" applyProtection="false">
      <alignment horizontal="center" vertical="bottom" textRotation="0" wrapText="false" indent="0" shrinkToFit="false"/>
      <protection locked="true" hidden="false"/>
    </xf>
    <xf numFmtId="164" fontId="0" fillId="0" borderId="65" xfId="0" applyFont="true" applyBorder="true" applyAlignment="true" applyProtection="false">
      <alignment horizontal="left" vertical="bottom" textRotation="0" wrapText="false" indent="0" shrinkToFit="false"/>
      <protection locked="true" hidden="false"/>
    </xf>
    <xf numFmtId="164" fontId="0" fillId="0" borderId="67"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center" vertical="bottom" textRotation="0" wrapText="false" indent="0" shrinkToFit="false"/>
      <protection locked="true" hidden="false"/>
    </xf>
    <xf numFmtId="164" fontId="0" fillId="0" borderId="56" xfId="0" applyFont="true" applyBorder="true" applyAlignment="true" applyProtection="false">
      <alignment horizontal="left" vertical="bottom" textRotation="0" wrapText="false" indent="0" shrinkToFit="false"/>
      <protection locked="true" hidden="false"/>
    </xf>
    <xf numFmtId="164" fontId="0" fillId="0" borderId="56" xfId="0" applyFont="true" applyBorder="true" applyAlignment="true" applyProtection="false">
      <alignment horizontal="general" vertical="bottom" textRotation="0" wrapText="false" indent="0" shrinkToFit="false"/>
      <protection locked="true" hidden="false"/>
    </xf>
    <xf numFmtId="164" fontId="45" fillId="0" borderId="40" xfId="0" applyFont="true" applyBorder="true" applyAlignment="true" applyProtection="false">
      <alignment horizontal="center" vertical="bottom" textRotation="0" wrapText="false" indent="0" shrinkToFit="false"/>
      <protection locked="true" hidden="false"/>
    </xf>
    <xf numFmtId="164" fontId="24" fillId="0" borderId="65" xfId="0" applyFont="true" applyBorder="true" applyAlignment="false" applyProtection="false">
      <alignment horizontal="general" vertical="bottom" textRotation="0" wrapText="false" indent="0" shrinkToFit="false"/>
      <protection locked="true" hidden="false"/>
    </xf>
    <xf numFmtId="164" fontId="24" fillId="0" borderId="65"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false" applyProtection="false">
      <alignment horizontal="general" vertical="bottom" textRotation="0" wrapText="false" indent="0" shrinkToFit="false"/>
      <protection locked="true" hidden="false"/>
    </xf>
    <xf numFmtId="164" fontId="46" fillId="0" borderId="40"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67" xfId="0" applyFont="true" applyBorder="true" applyAlignment="true" applyProtection="false">
      <alignment horizontal="center" vertical="bottom" textRotation="0" wrapText="false" indent="0" shrinkToFit="false"/>
      <protection locked="true" hidden="false"/>
    </xf>
    <xf numFmtId="164" fontId="24" fillId="0" borderId="66" xfId="0" applyFont="true" applyBorder="true" applyAlignment="true" applyProtection="false">
      <alignment horizontal="center" vertical="bottom" textRotation="0" wrapText="false" indent="0" shrinkToFit="false"/>
      <protection locked="true" hidden="false"/>
    </xf>
    <xf numFmtId="164" fontId="24" fillId="0" borderId="64" xfId="0" applyFont="true" applyBorder="true" applyAlignment="true" applyProtection="false">
      <alignment horizontal="center" vertical="bottom" textRotation="0" wrapText="false" indent="0" shrinkToFit="false"/>
      <protection locked="true" hidden="false"/>
    </xf>
    <xf numFmtId="164" fontId="46" fillId="0" borderId="64" xfId="0" applyFont="true" applyBorder="true" applyAlignment="true" applyProtection="false">
      <alignment horizontal="center" vertical="bottom" textRotation="0" wrapText="false" indent="0" shrinkToFit="false"/>
      <protection locked="true" hidden="false"/>
    </xf>
    <xf numFmtId="164" fontId="0" fillId="0" borderId="62" xfId="0" applyFont="true" applyBorder="true" applyAlignment="true" applyProtection="false">
      <alignment horizontal="center" vertical="bottom" textRotation="0" wrapText="false" indent="0" shrinkToFit="false"/>
      <protection locked="true" hidden="false"/>
    </xf>
    <xf numFmtId="164" fontId="25" fillId="0" borderId="62" xfId="0" applyFont="true" applyBorder="true" applyAlignment="true" applyProtection="false">
      <alignment horizontal="center" vertical="bottom" textRotation="0" wrapText="false" indent="0" shrinkToFit="false"/>
      <protection locked="true" hidden="false"/>
    </xf>
    <xf numFmtId="164" fontId="25" fillId="0" borderId="65" xfId="0" applyFont="true" applyBorder="true" applyAlignment="true" applyProtection="false">
      <alignment horizontal="center" vertical="bottom" textRotation="0" wrapText="false" indent="0" shrinkToFit="false"/>
      <protection locked="true" hidden="false"/>
    </xf>
    <xf numFmtId="170" fontId="0" fillId="0" borderId="62" xfId="0" applyFont="true" applyBorder="true" applyAlignment="true" applyProtection="false">
      <alignment horizontal="center" vertical="bottom" textRotation="0" wrapText="false" indent="0" shrinkToFit="false"/>
      <protection locked="true" hidden="false"/>
    </xf>
    <xf numFmtId="164" fontId="25" fillId="0" borderId="66" xfId="0" applyFont="true" applyBorder="true" applyAlignment="true" applyProtection="false">
      <alignment horizontal="center" vertical="bottom" textRotation="0" wrapText="false" indent="0" shrinkToFit="false"/>
      <protection locked="true" hidden="false"/>
    </xf>
    <xf numFmtId="164" fontId="25" fillId="0" borderId="67"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true" applyProtection="false">
      <alignment horizontal="center" vertical="bottom" textRotation="0" wrapText="false" indent="0" shrinkToFit="false"/>
      <protection locked="true" hidden="false"/>
    </xf>
    <xf numFmtId="164" fontId="44" fillId="0" borderId="56" xfId="0" applyFont="true" applyBorder="true" applyAlignment="true" applyProtection="false">
      <alignment horizontal="left" vertical="bottom" textRotation="0" wrapText="false" indent="0" shrinkToFit="false"/>
      <protection locked="true" hidden="false"/>
    </xf>
    <xf numFmtId="164" fontId="0" fillId="0" borderId="64" xfId="0" applyFont="true" applyBorder="true" applyAlignment="true" applyProtection="false">
      <alignment horizontal="center" vertical="bottom" textRotation="0" wrapText="false" indent="0" shrinkToFit="false"/>
      <protection locked="true" hidden="false"/>
    </xf>
    <xf numFmtId="164" fontId="25" fillId="0" borderId="64" xfId="0" applyFont="true" applyBorder="true" applyAlignment="true" applyProtection="false">
      <alignment horizontal="center" vertical="bottom" textRotation="0" wrapText="false" indent="0" shrinkToFit="false"/>
      <protection locked="true" hidden="false"/>
    </xf>
    <xf numFmtId="164" fontId="25" fillId="0" borderId="56" xfId="0" applyFont="true" applyBorder="true" applyAlignment="true" applyProtection="false">
      <alignment horizontal="center" vertical="bottom" textRotation="0" wrapText="false" indent="0" shrinkToFit="false"/>
      <protection locked="true" hidden="false"/>
    </xf>
    <xf numFmtId="164" fontId="0" fillId="0" borderId="56" xfId="21"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24" fillId="0" borderId="45" xfId="0" applyFont="true" applyBorder="true" applyAlignment="true" applyProtection="false">
      <alignment horizontal="general" vertical="bottom" textRotation="0" wrapText="false" indent="0" shrinkToFit="false"/>
      <protection locked="true" hidden="false"/>
    </xf>
    <xf numFmtId="164" fontId="24" fillId="0" borderId="16" xfId="0" applyFont="true" applyBorder="true" applyAlignment="true" applyProtection="false">
      <alignment horizontal="left" vertical="bottom" textRotation="0" wrapText="false" indent="0" shrinkToFit="false"/>
      <protection locked="true" hidden="false"/>
    </xf>
    <xf numFmtId="164" fontId="24" fillId="0" borderId="16" xfId="0" applyFont="true" applyBorder="true" applyAlignment="true" applyProtection="false">
      <alignment horizontal="center" vertical="bottom" textRotation="0" wrapText="false" indent="0" shrinkToFit="false"/>
      <protection locked="true" hidden="false"/>
    </xf>
    <xf numFmtId="164" fontId="24" fillId="0" borderId="40" xfId="21" applyFont="true" applyBorder="true" applyAlignment="true" applyProtection="true">
      <alignment horizontal="center" vertical="bottom" textRotation="0" wrapText="false" indent="0" shrinkToFit="false"/>
      <protection locked="true" hidden="false"/>
    </xf>
    <xf numFmtId="164" fontId="24"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24" fillId="0" borderId="122" xfId="0" applyFont="true" applyBorder="true" applyAlignment="true" applyProtection="false">
      <alignment horizontal="center" vertical="bottom" textRotation="0" wrapText="false" indent="0" shrinkToFit="false"/>
      <protection locked="true" hidden="false"/>
    </xf>
    <xf numFmtId="164" fontId="0" fillId="5" borderId="122" xfId="0" applyFont="true" applyBorder="true" applyAlignment="true" applyProtection="false">
      <alignment horizontal="left" vertical="bottom" textRotation="0" wrapText="false" indent="0" shrinkToFit="false"/>
      <protection locked="true" hidden="false"/>
    </xf>
    <xf numFmtId="164" fontId="0" fillId="5" borderId="123" xfId="0" applyFont="true" applyBorder="true" applyAlignment="true" applyProtection="false">
      <alignment horizontal="left" vertical="bottom" textRotation="0" wrapText="false" indent="0" shrinkToFit="false"/>
      <protection locked="true" hidden="false"/>
    </xf>
    <xf numFmtId="164" fontId="0" fillId="5" borderId="6" xfId="0" applyFont="true" applyBorder="true" applyAlignment="true" applyProtection="false">
      <alignment horizontal="left" vertical="bottom" textRotation="0" wrapText="false" indent="0" shrinkToFit="false"/>
      <protection locked="true" hidden="false"/>
    </xf>
    <xf numFmtId="164" fontId="0" fillId="5" borderId="67" xfId="0" applyFont="true" applyBorder="true" applyAlignment="true" applyProtection="false">
      <alignment horizontal="left" vertical="bottom" textRotation="0" wrapText="false" indent="0" shrinkToFit="false"/>
      <protection locked="true" hidden="false"/>
    </xf>
    <xf numFmtId="164" fontId="0" fillId="0" borderId="122" xfId="0" applyFont="true" applyBorder="true" applyAlignment="true" applyProtection="false">
      <alignment horizontal="left" vertical="bottom" textRotation="0" wrapText="false" indent="0" shrinkToFit="false"/>
      <protection locked="true" hidden="false"/>
    </xf>
    <xf numFmtId="164" fontId="0" fillId="0" borderId="123" xfId="0" applyFont="true" applyBorder="true" applyAlignment="true" applyProtection="false">
      <alignment horizontal="left" vertical="bottom" textRotation="0" wrapText="false" indent="0" shrinkToFit="false"/>
      <protection locked="true" hidden="false"/>
    </xf>
    <xf numFmtId="164" fontId="0" fillId="0" borderId="63"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40" xfId="21" applyFont="true" applyBorder="true" applyAlignment="false" applyProtection="true">
      <alignment horizontal="general" vertical="bottom" textRotation="0" wrapText="false" indent="0" shrinkToFit="false"/>
      <protection locked="true" hidden="false"/>
    </xf>
    <xf numFmtId="164" fontId="24" fillId="0" borderId="40" xfId="21" applyFont="true" applyBorder="true" applyAlignment="true" applyProtection="true">
      <alignment horizontal="right" vertical="bottom" textRotation="0" wrapText="false" indent="0" shrinkToFit="false"/>
      <protection locked="true" hidden="false"/>
    </xf>
    <xf numFmtId="164" fontId="0" fillId="0" borderId="64" xfId="21"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6" xfId="0" applyFont="false" applyBorder="true" applyAlignment="true" applyProtection="false">
      <alignment horizontal="center" vertical="bottom" textRotation="0" wrapText="false" indent="0" shrinkToFit="false"/>
      <protection locked="true" hidden="false"/>
    </xf>
    <xf numFmtId="164" fontId="24" fillId="0" borderId="67" xfId="21" applyFont="true" applyBorder="true" applyAlignment="true" applyProtection="true">
      <alignment horizontal="right" vertical="bottom" textRotation="0" wrapText="false" indent="0" shrinkToFit="false"/>
      <protection locked="true" hidden="false"/>
    </xf>
    <xf numFmtId="166" fontId="0" fillId="0" borderId="67" xfId="0" applyFont="true" applyBorder="true" applyAlignment="true" applyProtection="false">
      <alignment horizontal="center" vertical="bottom" textRotation="0" wrapText="false" indent="0" shrinkToFit="false"/>
      <protection locked="true" hidden="false"/>
    </xf>
    <xf numFmtId="166" fontId="0" fillId="5" borderId="67" xfId="0" applyFont="true" applyBorder="true" applyAlignment="true" applyProtection="false">
      <alignment horizontal="center" vertical="bottom" textRotation="0" wrapText="false" indent="0" shrinkToFit="false"/>
      <protection locked="true" hidden="false"/>
    </xf>
    <xf numFmtId="164" fontId="24" fillId="0" borderId="56" xfId="21" applyFont="true" applyBorder="true" applyAlignment="true" applyProtection="true">
      <alignment horizontal="right" vertical="bottom" textRotation="0" wrapText="false" indent="0" shrinkToFit="false"/>
      <protection locked="true" hidden="false"/>
    </xf>
    <xf numFmtId="166" fontId="0" fillId="0" borderId="56"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right" vertical="bottom" textRotation="0" wrapText="false" indent="0" shrinkToFit="false"/>
      <protection locked="true" hidden="false"/>
    </xf>
    <xf numFmtId="164" fontId="0" fillId="0" borderId="67" xfId="21" applyFont="true" applyBorder="true" applyAlignment="true" applyProtection="true">
      <alignment horizontal="left" vertical="bottom" textRotation="0" wrapText="false" indent="0" shrinkToFit="false"/>
      <protection locked="true" hidden="false"/>
    </xf>
    <xf numFmtId="164" fontId="0" fillId="0" borderId="67" xfId="0" applyFont="false" applyBorder="true" applyAlignment="true" applyProtection="false">
      <alignment horizontal="left" vertical="bottom" textRotation="0" wrapText="false" indent="0" shrinkToFit="false"/>
      <protection locked="true" hidden="false"/>
    </xf>
    <xf numFmtId="164" fontId="0" fillId="0" borderId="56" xfId="21" applyFont="true" applyBorder="true" applyAlignment="true" applyProtection="true">
      <alignment horizontal="left" vertical="bottom" textRotation="0" wrapText="false" indent="0" shrinkToFit="false"/>
      <protection locked="true" hidden="false"/>
    </xf>
    <xf numFmtId="164" fontId="24" fillId="0" borderId="0" xfId="21" applyFont="true" applyBorder="true" applyAlignment="true" applyProtection="true">
      <alignment horizontal="right" vertical="bottom" textRotation="0" wrapText="false" indent="0" shrinkToFit="false"/>
      <protection locked="true" hidden="false"/>
    </xf>
    <xf numFmtId="164" fontId="0" fillId="0" borderId="0" xfId="21" applyFont="true" applyBorder="true" applyAlignment="true" applyProtection="true">
      <alignment horizontal="left" vertical="bottom" textRotation="0" wrapText="false" indent="0" shrinkToFit="false"/>
      <protection locked="true" hidden="false"/>
    </xf>
    <xf numFmtId="164" fontId="0" fillId="0" borderId="55" xfId="0" applyFont="false" applyBorder="true" applyAlignment="true" applyProtection="false">
      <alignment horizontal="center" vertical="bottom" textRotation="0" wrapText="false" indent="0" shrinkToFit="false"/>
      <protection locked="true" hidden="false"/>
    </xf>
    <xf numFmtId="164" fontId="24" fillId="0" borderId="40"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false" applyProtection="false">
      <alignment horizontal="general" vertical="bottom" textRotation="0" wrapText="false" indent="0" shrinkToFit="false"/>
      <protection locked="true" hidden="false"/>
    </xf>
    <xf numFmtId="164" fontId="24" fillId="0" borderId="44" xfId="0" applyFont="true" applyBorder="true" applyAlignment="true" applyProtection="false">
      <alignment horizontal="center" vertical="bottom" textRotation="0" wrapText="true" indent="0" shrinkToFit="false"/>
      <protection locked="true" hidden="false"/>
    </xf>
    <xf numFmtId="164" fontId="24" fillId="0" borderId="45" xfId="21" applyFont="true" applyBorder="true" applyAlignment="true" applyProtection="true">
      <alignment horizontal="general" vertical="bottom" textRotation="0" wrapText="false" indent="0" shrinkToFit="false"/>
      <protection locked="true" hidden="false"/>
    </xf>
    <xf numFmtId="164" fontId="24" fillId="0" borderId="55" xfId="21" applyFont="true" applyBorder="true" applyAlignment="true" applyProtection="true">
      <alignment horizontal="center" vertical="bottom" textRotation="0" wrapText="false" indent="0" shrinkToFit="false"/>
      <protection locked="true" hidden="false"/>
    </xf>
    <xf numFmtId="164" fontId="24" fillId="0" borderId="45" xfId="0"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false" applyProtection="false">
      <alignment horizontal="general" vertical="bottom"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false"/>
      <protection locked="true" hidden="false"/>
    </xf>
    <xf numFmtId="164" fontId="0" fillId="0" borderId="61"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true" indent="0" shrinkToFit="false"/>
      <protection locked="true" hidden="false"/>
    </xf>
    <xf numFmtId="164" fontId="0" fillId="0" borderId="65" xfId="0" applyFont="true" applyBorder="true" applyAlignment="true" applyProtection="false">
      <alignment horizontal="center" vertical="bottom" textRotation="0" wrapText="tru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9" borderId="6" xfId="0" applyFont="true" applyBorder="true" applyAlignment="false" applyProtection="false">
      <alignment horizontal="general" vertical="bottom" textRotation="0" wrapText="false" indent="0" shrinkToFit="false"/>
      <protection locked="true" hidden="false"/>
    </xf>
    <xf numFmtId="164" fontId="0" fillId="9" borderId="0" xfId="0" applyFont="true" applyBorder="true" applyAlignment="true" applyProtection="false">
      <alignment horizontal="center" vertical="bottom" textRotation="0" wrapText="false" indent="0" shrinkToFit="false"/>
      <protection locked="true" hidden="false"/>
    </xf>
    <xf numFmtId="164" fontId="0" fillId="9" borderId="66"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false" applyProtection="false">
      <alignment horizontal="general" vertical="bottom" textRotation="0" wrapText="false" indent="0" shrinkToFit="false"/>
      <protection locked="true" hidden="false"/>
    </xf>
    <xf numFmtId="164" fontId="0" fillId="0" borderId="44" xfId="0" applyFont="true" applyBorder="true" applyAlignment="true" applyProtection="false">
      <alignment horizontal="center" vertical="bottom" textRotation="0" wrapText="false" indent="0" shrinkToFit="false"/>
      <protection locked="true" hidden="false"/>
    </xf>
    <xf numFmtId="164" fontId="0" fillId="0" borderId="44" xfId="0" applyFont="true" applyBorder="true" applyAlignment="true" applyProtection="false">
      <alignment horizontal="left" vertical="bottom" textRotation="0" wrapText="false" indent="0" shrinkToFit="false"/>
      <protection locked="true" hidden="false"/>
    </xf>
    <xf numFmtId="164" fontId="0" fillId="0" borderId="44" xfId="0" applyFont="true" applyBorder="true" applyAlignment="false" applyProtection="false">
      <alignment horizontal="general" vertical="bottom" textRotation="0" wrapText="false" indent="0" shrinkToFit="false"/>
      <protection locked="true" hidden="false"/>
    </xf>
    <xf numFmtId="164" fontId="0" fillId="0" borderId="64" xfId="0" applyFont="true" applyBorder="true" applyAlignment="false" applyProtection="false">
      <alignment horizontal="general" vertical="bottom" textRotation="0" wrapText="false" indent="0" shrinkToFit="false"/>
      <protection locked="true" hidden="false"/>
    </xf>
    <xf numFmtId="164" fontId="32" fillId="0" borderId="0" xfId="21" applyFont="true" applyBorder="true" applyAlignment="false" applyProtection="true">
      <alignment horizontal="general" vertical="bottom" textRotation="0" wrapText="false" indent="0" shrinkToFit="false"/>
      <protection locked="true" hidden="false"/>
    </xf>
    <xf numFmtId="164" fontId="24" fillId="0" borderId="63" xfId="21" applyFont="true" applyBorder="true" applyAlignment="true" applyProtection="true">
      <alignment horizontal="center" vertical="bottom" textRotation="0" wrapText="false" indent="0" shrinkToFit="false"/>
      <protection locked="true" hidden="false"/>
    </xf>
    <xf numFmtId="164" fontId="24" fillId="0" borderId="44" xfId="21" applyFont="true" applyBorder="true" applyAlignment="true" applyProtection="true">
      <alignment horizontal="center" vertical="bottom" textRotation="0" wrapText="false" indent="0" shrinkToFit="false"/>
      <protection locked="true" hidden="false"/>
    </xf>
    <xf numFmtId="166" fontId="24" fillId="0" borderId="44" xfId="21" applyFont="true" applyBorder="true" applyAlignment="true" applyProtection="true">
      <alignment horizontal="center" vertical="bottom" textRotation="0" wrapText="false" indent="0" shrinkToFit="false"/>
      <protection locked="true" hidden="false"/>
    </xf>
    <xf numFmtId="164" fontId="24" fillId="0" borderId="64" xfId="21" applyFont="true" applyBorder="true" applyAlignment="false" applyProtection="true">
      <alignment horizontal="general" vertical="bottom" textRotation="0" wrapText="false" indent="0" shrinkToFit="false"/>
      <protection locked="true" hidden="false"/>
    </xf>
    <xf numFmtId="164" fontId="24" fillId="0" borderId="6" xfId="21" applyFont="true" applyBorder="true" applyAlignment="true" applyProtection="true">
      <alignment horizontal="center" vertical="bottom" textRotation="0" wrapText="false" indent="0" shrinkToFit="false"/>
      <protection locked="true" hidden="false"/>
    </xf>
    <xf numFmtId="164" fontId="24" fillId="0" borderId="0" xfId="21" applyFont="true" applyBorder="true" applyAlignment="true" applyProtection="true">
      <alignment horizontal="center" vertical="bottom" textRotation="0" wrapText="false" indent="0" shrinkToFit="false"/>
      <protection locked="true" hidden="false"/>
    </xf>
    <xf numFmtId="166" fontId="24" fillId="0" borderId="0" xfId="21" applyFont="true" applyBorder="true" applyAlignment="true" applyProtection="true">
      <alignment horizontal="center" vertical="bottom" textRotation="0" wrapText="false" indent="0" shrinkToFit="false"/>
      <protection locked="true" hidden="false"/>
    </xf>
    <xf numFmtId="164" fontId="24" fillId="0" borderId="66" xfId="21" applyFont="true" applyBorder="true" applyAlignment="false" applyProtection="true">
      <alignment horizontal="general" vertical="bottom" textRotation="0" wrapText="false" indent="0" shrinkToFit="false"/>
      <protection locked="true" hidden="false"/>
    </xf>
    <xf numFmtId="164" fontId="24" fillId="0" borderId="66" xfId="21" applyFont="true" applyBorder="true" applyAlignment="true" applyProtection="true">
      <alignment horizontal="left" vertical="bottom" textRotation="0" wrapText="false" indent="0" shrinkToFit="false"/>
      <protection locked="true" hidden="false"/>
    </xf>
    <xf numFmtId="164" fontId="0" fillId="0" borderId="0" xfId="21" applyFont="true" applyBorder="true" applyAlignment="false" applyProtection="true">
      <alignment horizontal="general" vertical="bottom" textRotation="0" wrapText="false" indent="0" shrinkToFit="false"/>
      <protection locked="true" hidden="false"/>
    </xf>
    <xf numFmtId="164" fontId="0" fillId="2" borderId="6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62" xfId="21" applyFont="true" applyBorder="true" applyAlignment="false" applyProtection="true">
      <alignment horizontal="general" vertical="bottom" textRotation="0" wrapText="false" indent="0" shrinkToFit="false"/>
      <protection locked="true" hidden="false"/>
    </xf>
    <xf numFmtId="164" fontId="0" fillId="2" borderId="6" xfId="0" applyFont="true" applyBorder="true" applyAlignment="false" applyProtection="false">
      <alignment horizontal="general" vertical="bottom" textRotation="0" wrapText="false" indent="0" shrinkToFit="false"/>
      <protection locked="true" hidden="false"/>
    </xf>
    <xf numFmtId="164" fontId="0" fillId="2" borderId="66" xfId="21" applyFont="true" applyBorder="true" applyAlignment="false" applyProtection="true">
      <alignment horizontal="general" vertical="bottom" textRotation="0" wrapText="false" indent="0" shrinkToFit="false"/>
      <protection locked="true" hidden="false"/>
    </xf>
    <xf numFmtId="164" fontId="0" fillId="2" borderId="6" xfId="21" applyFont="true" applyBorder="true" applyAlignment="true" applyProtection="true">
      <alignment horizontal="left" vertical="bottom" textRotation="0" wrapText="false" indent="0" shrinkToFit="false"/>
      <protection locked="true" hidden="false"/>
    </xf>
    <xf numFmtId="164" fontId="0" fillId="2" borderId="0" xfId="21" applyFont="true" applyBorder="true" applyAlignment="true" applyProtection="true">
      <alignment horizontal="center" vertical="bottom" textRotation="0" wrapText="false" indent="0" shrinkToFit="false"/>
      <protection locked="true" hidden="false"/>
    </xf>
    <xf numFmtId="166" fontId="0" fillId="2" borderId="0" xfId="21" applyFont="true" applyBorder="true" applyAlignment="true" applyProtection="true">
      <alignment horizontal="center" vertical="bottom" textRotation="0" wrapText="false" indent="0" shrinkToFit="false"/>
      <protection locked="true" hidden="false"/>
    </xf>
    <xf numFmtId="164" fontId="0" fillId="0" borderId="0" xfId="21" applyFont="true" applyBorder="true" applyAlignment="true" applyProtection="true">
      <alignment horizontal="center" vertical="bottom" textRotation="0" wrapText="false" indent="0" shrinkToFit="false"/>
      <protection locked="true" hidden="false"/>
    </xf>
    <xf numFmtId="164" fontId="0" fillId="2" borderId="61" xfId="21" applyFont="true" applyBorder="true" applyAlignment="false" applyProtection="true">
      <alignment horizontal="general" vertical="bottom" textRotation="0" wrapText="false" indent="0" shrinkToFit="false"/>
      <protection locked="true" hidden="false"/>
    </xf>
    <xf numFmtId="164" fontId="0" fillId="2" borderId="19" xfId="21" applyFont="true" applyBorder="true" applyAlignment="true" applyProtection="true">
      <alignment horizontal="center" vertical="bottom" textRotation="0" wrapText="false" indent="0" shrinkToFit="false"/>
      <protection locked="true" hidden="false"/>
    </xf>
    <xf numFmtId="166" fontId="0" fillId="2" borderId="19" xfId="21" applyFont="true" applyBorder="true" applyAlignment="true" applyProtection="true">
      <alignment horizontal="center" vertical="bottom" textRotation="0" wrapText="false" indent="0" shrinkToFit="false"/>
      <protection locked="true" hidden="false"/>
    </xf>
    <xf numFmtId="164" fontId="0" fillId="2" borderId="6" xfId="21" applyFont="true" applyBorder="true" applyAlignment="false" applyProtection="true">
      <alignment horizontal="general" vertical="bottom" textRotation="0" wrapText="false" indent="0" shrinkToFit="false"/>
      <protection locked="true" hidden="false"/>
    </xf>
    <xf numFmtId="164" fontId="0" fillId="2" borderId="61" xfId="21" applyFont="true" applyBorder="true" applyAlignment="true" applyProtection="true">
      <alignment horizontal="left" vertical="bottom" textRotation="0" wrapText="false" indent="0" shrinkToFit="false"/>
      <protection locked="true" hidden="false"/>
    </xf>
    <xf numFmtId="164" fontId="0" fillId="2" borderId="63" xfId="0" applyFont="true" applyBorder="true" applyAlignment="false" applyProtection="false">
      <alignment horizontal="general" vertical="bottom" textRotation="0" wrapText="false" indent="0" shrinkToFit="false"/>
      <protection locked="true" hidden="false"/>
    </xf>
    <xf numFmtId="164" fontId="0" fillId="2" borderId="44" xfId="0" applyFont="false" applyBorder="true" applyAlignment="true" applyProtection="false">
      <alignment horizontal="center" vertical="bottom" textRotation="0" wrapText="false" indent="0" shrinkToFit="false"/>
      <protection locked="true" hidden="false"/>
    </xf>
    <xf numFmtId="164" fontId="0" fillId="2" borderId="44" xfId="0" applyFont="true" applyBorder="true" applyAlignment="false" applyProtection="false">
      <alignment horizontal="general" vertical="bottom" textRotation="0" wrapText="false" indent="0" shrinkToFit="false"/>
      <protection locked="true" hidden="false"/>
    </xf>
    <xf numFmtId="164" fontId="0" fillId="2" borderId="64" xfId="21" applyFont="true" applyBorder="true" applyAlignment="false" applyProtection="true">
      <alignment horizontal="general" vertical="bottom" textRotation="0" wrapText="false" indent="0" shrinkToFit="false"/>
      <protection locked="true" hidden="false"/>
    </xf>
    <xf numFmtId="170"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63" xfId="21" applyFont="true" applyBorder="true" applyAlignment="true" applyProtection="true">
      <alignment horizontal="left" vertical="bottom" textRotation="0" wrapText="false" indent="0" shrinkToFit="false"/>
      <protection locked="true" hidden="false"/>
    </xf>
    <xf numFmtId="164" fontId="0" fillId="2" borderId="44" xfId="21" applyFont="true" applyBorder="true" applyAlignment="true" applyProtection="true">
      <alignment horizontal="center" vertical="bottom" textRotation="0" wrapText="false" indent="0" shrinkToFit="false"/>
      <protection locked="true" hidden="false"/>
    </xf>
    <xf numFmtId="166" fontId="0" fillId="2" borderId="44" xfId="21" applyFont="true" applyBorder="true" applyAlignment="true" applyProtection="true">
      <alignment horizontal="center" vertical="bottom" textRotation="0" wrapText="false" indent="0" shrinkToFit="false"/>
      <protection locked="true" hidden="false"/>
    </xf>
    <xf numFmtId="165" fontId="0" fillId="2" borderId="0" xfId="21" applyFont="true" applyBorder="true" applyAlignment="true" applyProtection="true">
      <alignment horizontal="center" vertical="bottom" textRotation="0" wrapText="false" indent="0" shrinkToFit="false"/>
      <protection locked="true" hidden="false"/>
    </xf>
    <xf numFmtId="164" fontId="0" fillId="2" borderId="63" xfId="21" applyFont="true" applyBorder="true" applyAlignment="false" applyProtection="true">
      <alignment horizontal="general" vertical="bottom" textRotation="0" wrapText="false" indent="0" shrinkToFit="false"/>
      <protection locked="true" hidden="false"/>
    </xf>
    <xf numFmtId="164" fontId="0" fillId="2" borderId="55" xfId="21" applyFont="true" applyBorder="true" applyAlignment="false" applyProtection="true">
      <alignment horizontal="general" vertical="bottom" textRotation="0" wrapText="false" indent="0" shrinkToFit="false"/>
      <protection locked="true" hidden="false"/>
    </xf>
    <xf numFmtId="164" fontId="0" fillId="2" borderId="45" xfId="21" applyFont="true" applyBorder="true" applyAlignment="false" applyProtection="true">
      <alignment horizontal="general" vertical="bottom" textRotation="0" wrapText="false" indent="0" shrinkToFit="false"/>
      <protection locked="true" hidden="false"/>
    </xf>
    <xf numFmtId="164" fontId="0" fillId="2" borderId="16" xfId="21" applyFont="true" applyBorder="true" applyAlignment="true" applyProtection="true">
      <alignment horizontal="center" vertical="bottom" textRotation="0" wrapText="false" indent="0" shrinkToFit="false"/>
      <protection locked="true" hidden="false"/>
    </xf>
    <xf numFmtId="166" fontId="0" fillId="2" borderId="16" xfId="21" applyFont="true" applyBorder="true" applyAlignment="true" applyProtection="true">
      <alignment horizontal="center" vertical="bottom" textRotation="0" wrapText="false" indent="0" shrinkToFit="false"/>
      <protection locked="true" hidden="false"/>
    </xf>
    <xf numFmtId="164" fontId="0" fillId="0" borderId="6" xfId="21" applyFont="true" applyBorder="true" applyAlignment="false" applyProtection="true">
      <alignment horizontal="general" vertical="bottom" textRotation="0" wrapText="false" indent="0" shrinkToFit="false"/>
      <protection locked="true" hidden="false"/>
    </xf>
    <xf numFmtId="164" fontId="0" fillId="0" borderId="66" xfId="21" applyFont="true" applyBorder="true" applyAlignment="false" applyProtection="true">
      <alignment horizontal="general" vertical="bottom" textRotation="0" wrapText="false" indent="0" shrinkToFit="false"/>
      <protection locked="true" hidden="false"/>
    </xf>
    <xf numFmtId="166" fontId="0" fillId="0" borderId="0"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left" vertical="bottom" textRotation="0" wrapText="false" indent="0" shrinkToFit="false"/>
      <protection locked="true" hidden="false"/>
    </xf>
    <xf numFmtId="164" fontId="0" fillId="0" borderId="63" xfId="21" applyFont="true" applyBorder="true" applyAlignment="false" applyProtection="true">
      <alignment horizontal="general" vertical="bottom" textRotation="0" wrapText="false" indent="0" shrinkToFit="false"/>
      <protection locked="true" hidden="false"/>
    </xf>
    <xf numFmtId="164" fontId="0" fillId="0" borderId="44" xfId="21" applyFont="true" applyBorder="true" applyAlignment="true" applyProtection="true">
      <alignment horizontal="center" vertical="bottom" textRotation="0" wrapText="false" indent="0" shrinkToFit="false"/>
      <protection locked="true" hidden="false"/>
    </xf>
    <xf numFmtId="166" fontId="0" fillId="0" borderId="44" xfId="21" applyFont="true" applyBorder="true" applyAlignment="true" applyProtection="true">
      <alignment horizontal="center" vertical="bottom" textRotation="0" wrapText="false" indent="0" shrinkToFit="false"/>
      <protection locked="true" hidden="false"/>
    </xf>
    <xf numFmtId="164" fontId="0" fillId="0" borderId="64" xfId="21" applyFont="true" applyBorder="true" applyAlignment="false" applyProtection="true">
      <alignment horizontal="general" vertical="bottom" textRotation="0" wrapText="false" indent="0" shrinkToFit="false"/>
      <protection locked="true" hidden="false"/>
    </xf>
    <xf numFmtId="164" fontId="0" fillId="0" borderId="63" xfId="21" applyFont="true" applyBorder="true" applyAlignment="true" applyProtection="true">
      <alignment horizontal="left" vertical="bottom" textRotation="0" wrapText="false" indent="0" shrinkToFit="false"/>
      <protection locked="true" hidden="false"/>
    </xf>
    <xf numFmtId="164" fontId="0" fillId="0" borderId="64" xfId="21" applyFont="true" applyBorder="true" applyAlignment="true" applyProtection="true">
      <alignment horizontal="left"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A6CAF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0</xdr:colOff>
      <xdr:row>11</xdr:row>
      <xdr:rowOff>0</xdr:rowOff>
    </xdr:from>
    <xdr:to>
      <xdr:col>25</xdr:col>
      <xdr:colOff>241200</xdr:colOff>
      <xdr:row>11</xdr:row>
      <xdr:rowOff>0</xdr:rowOff>
    </xdr:to>
    <xdr:sp>
      <xdr:nvSpPr>
        <xdr:cNvPr id="0" name="Line 1"/>
        <xdr:cNvSpPr/>
      </xdr:nvSpPr>
      <xdr:spPr>
        <a:xfrm>
          <a:off x="2193840" y="1857240"/>
          <a:ext cx="2382480" cy="0"/>
        </a:xfrm>
        <a:prstGeom prst="line">
          <a:avLst/>
        </a:prstGeom>
        <a:ln cap="rnd" w="3240">
          <a:solidFill>
            <a:srgbClr val="c0c0c0"/>
          </a:solidFill>
          <a:custDash>
            <a:ds d="4200000" sp="16300000"/>
          </a:custDash>
          <a:round/>
        </a:ln>
      </xdr:spPr>
      <xdr:style>
        <a:lnRef idx="0"/>
        <a:fillRef idx="0"/>
        <a:effectRef idx="0"/>
        <a:fontRef idx="minor"/>
      </xdr:style>
    </xdr:sp>
    <xdr:clientData/>
  </xdr:twoCellAnchor>
  <xdr:twoCellAnchor editAs="oneCell">
    <xdr:from>
      <xdr:col>13</xdr:col>
      <xdr:colOff>0</xdr:colOff>
      <xdr:row>12</xdr:row>
      <xdr:rowOff>0</xdr:rowOff>
    </xdr:from>
    <xdr:to>
      <xdr:col>25</xdr:col>
      <xdr:colOff>241200</xdr:colOff>
      <xdr:row>12</xdr:row>
      <xdr:rowOff>0</xdr:rowOff>
    </xdr:to>
    <xdr:sp>
      <xdr:nvSpPr>
        <xdr:cNvPr id="1" name="Line 1"/>
        <xdr:cNvSpPr/>
      </xdr:nvSpPr>
      <xdr:spPr>
        <a:xfrm>
          <a:off x="2193840" y="1998000"/>
          <a:ext cx="2382480" cy="0"/>
        </a:xfrm>
        <a:prstGeom prst="line">
          <a:avLst/>
        </a:prstGeom>
        <a:ln cap="rnd" w="3240">
          <a:solidFill>
            <a:srgbClr val="c0c0c0"/>
          </a:solidFill>
          <a:custDash>
            <a:ds d="4200000" sp="16300000"/>
          </a:custDash>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177120</xdr:colOff>
      <xdr:row>29</xdr:row>
      <xdr:rowOff>2520</xdr:rowOff>
    </xdr:to>
    <xdr:sp>
      <xdr:nvSpPr>
        <xdr:cNvPr id="2" name="CustomShape 1"/>
        <xdr:cNvSpPr/>
      </xdr:nvSpPr>
      <xdr:spPr>
        <a:xfrm>
          <a:off x="4152240" y="4398480"/>
          <a:ext cx="4447800" cy="13392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67</xdr:row>
      <xdr:rowOff>9360</xdr:rowOff>
    </xdr:from>
    <xdr:to>
      <xdr:col>35</xdr:col>
      <xdr:colOff>176760</xdr:colOff>
      <xdr:row>68</xdr:row>
      <xdr:rowOff>2520</xdr:rowOff>
    </xdr:to>
    <xdr:sp>
      <xdr:nvSpPr>
        <xdr:cNvPr id="3" name="CustomShape 1"/>
        <xdr:cNvSpPr/>
      </xdr:nvSpPr>
      <xdr:spPr>
        <a:xfrm>
          <a:off x="4066920" y="9896040"/>
          <a:ext cx="4929840" cy="1342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55</xdr:row>
      <xdr:rowOff>9360</xdr:rowOff>
    </xdr:from>
    <xdr:to>
      <xdr:col>35</xdr:col>
      <xdr:colOff>177120</xdr:colOff>
      <xdr:row>56</xdr:row>
      <xdr:rowOff>2520</xdr:rowOff>
    </xdr:to>
    <xdr:sp>
      <xdr:nvSpPr>
        <xdr:cNvPr id="4" name="CustomShape 1"/>
        <xdr:cNvSpPr/>
      </xdr:nvSpPr>
      <xdr:spPr>
        <a:xfrm>
          <a:off x="4286160" y="8204400"/>
          <a:ext cx="4676040" cy="1342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177120</xdr:colOff>
      <xdr:row>29</xdr:row>
      <xdr:rowOff>2520</xdr:rowOff>
    </xdr:to>
    <xdr:sp>
      <xdr:nvSpPr>
        <xdr:cNvPr id="5" name="CustomShape 1"/>
        <xdr:cNvSpPr/>
      </xdr:nvSpPr>
      <xdr:spPr>
        <a:xfrm>
          <a:off x="4152240" y="4398480"/>
          <a:ext cx="4447800" cy="13392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83"/>
  <sheetViews>
    <sheetView showFormulas="false" showGridLines="true" showRowColHeaders="true" showZeros="true" rightToLeft="false" tabSelected="false" showOutlineSymbols="true" defaultGridColor="true" view="normal" topLeftCell="A97" colorId="64" zoomScale="110" zoomScaleNormal="110" zoomScalePageLayoutView="100" workbookViewId="0">
      <selection pane="topLeft" activeCell="A98" activeCellId="0" sqref="A98"/>
    </sheetView>
  </sheetViews>
  <sheetFormatPr defaultRowHeight="12.75" zeroHeight="false" outlineLevelRow="0" outlineLevelCol="0"/>
  <cols>
    <col collapsed="false" customWidth="true" hidden="false" outlineLevel="0" max="1" min="1" style="1" width="147.65"/>
    <col collapsed="false" customWidth="true" hidden="false" outlineLevel="0" max="1025" min="2" style="0" width="8.83"/>
  </cols>
  <sheetData>
    <row r="1" customFormat="false" ht="48.75" hidden="false" customHeight="true" outlineLevel="0" collapsed="false">
      <c r="A1" s="2" t="s">
        <v>0</v>
      </c>
      <c r="B1" s="3"/>
      <c r="C1" s="3"/>
      <c r="D1" s="3"/>
      <c r="E1" s="3"/>
      <c r="F1" s="3"/>
      <c r="G1" s="3"/>
      <c r="H1" s="3"/>
      <c r="I1" s="3"/>
      <c r="J1" s="3"/>
      <c r="K1" s="3"/>
      <c r="L1" s="3"/>
      <c r="M1" s="4"/>
      <c r="N1" s="5"/>
      <c r="O1" s="5"/>
      <c r="P1" s="5"/>
      <c r="Q1" s="5"/>
      <c r="R1" s="5"/>
      <c r="S1" s="5"/>
      <c r="T1" s="5"/>
      <c r="U1" s="5"/>
      <c r="V1" s="6"/>
      <c r="W1" s="6"/>
    </row>
    <row r="2" customFormat="false" ht="18.75" hidden="false" customHeight="false" outlineLevel="0" collapsed="false">
      <c r="A2" s="7" t="s">
        <v>1</v>
      </c>
      <c r="B2" s="3"/>
      <c r="C2" s="3"/>
      <c r="D2" s="3"/>
      <c r="E2" s="3"/>
      <c r="F2" s="3"/>
      <c r="G2" s="3"/>
      <c r="H2" s="3"/>
      <c r="I2" s="3"/>
      <c r="J2" s="3"/>
      <c r="K2" s="3"/>
      <c r="L2" s="3"/>
      <c r="M2" s="4"/>
    </row>
    <row r="3" customFormat="false" ht="74.25" hidden="false" customHeight="true" outlineLevel="0" collapsed="false">
      <c r="A3" s="8" t="s">
        <v>2</v>
      </c>
      <c r="B3" s="9"/>
      <c r="C3" s="9"/>
      <c r="D3" s="9"/>
      <c r="E3" s="9"/>
      <c r="F3" s="9"/>
      <c r="G3" s="9"/>
      <c r="H3" s="9"/>
      <c r="I3" s="9"/>
      <c r="J3" s="9"/>
      <c r="K3" s="9"/>
      <c r="L3" s="9"/>
      <c r="M3" s="9"/>
    </row>
    <row r="4" customFormat="false" ht="51" hidden="false" customHeight="true" outlineLevel="0" collapsed="false">
      <c r="A4" s="10" t="s">
        <v>3</v>
      </c>
      <c r="B4" s="11"/>
      <c r="C4" s="11"/>
      <c r="D4" s="11"/>
      <c r="E4" s="11"/>
      <c r="F4" s="11"/>
      <c r="G4" s="11"/>
      <c r="H4" s="11"/>
      <c r="I4" s="11"/>
      <c r="J4" s="11"/>
      <c r="K4" s="11"/>
      <c r="L4" s="11"/>
      <c r="M4" s="11"/>
    </row>
    <row r="6" customFormat="false" ht="18.75" hidden="false" customHeight="false" outlineLevel="0" collapsed="false">
      <c r="A6" s="12" t="s">
        <v>4</v>
      </c>
      <c r="B6" s="13"/>
      <c r="C6" s="13"/>
    </row>
    <row r="7" customFormat="false" ht="15.75" hidden="false" customHeight="false" outlineLevel="0" collapsed="false">
      <c r="A7" s="14" t="s">
        <v>5</v>
      </c>
      <c r="B7" s="13"/>
      <c r="C7" s="13"/>
    </row>
    <row r="8" customFormat="false" ht="6.75" hidden="false" customHeight="true" outlineLevel="0" collapsed="false">
      <c r="A8" s="14"/>
      <c r="B8" s="13"/>
      <c r="C8" s="13"/>
    </row>
    <row r="9" customFormat="false" ht="12.75" hidden="false" customHeight="false" outlineLevel="0" collapsed="false">
      <c r="A9" s="15" t="s">
        <v>6</v>
      </c>
      <c r="B9" s="16"/>
      <c r="C9" s="13"/>
    </row>
    <row r="10" customFormat="false" ht="12.75" hidden="false" customHeight="false" outlineLevel="0" collapsed="false">
      <c r="A10" s="15" t="s">
        <v>7</v>
      </c>
      <c r="B10" s="16"/>
      <c r="C10" s="13"/>
    </row>
    <row r="11" customFormat="false" ht="12.75" hidden="false" customHeight="false" outlineLevel="0" collapsed="false">
      <c r="A11" s="15" t="s">
        <v>8</v>
      </c>
      <c r="B11" s="16"/>
      <c r="C11" s="13"/>
    </row>
    <row r="12" customFormat="false" ht="12.75" hidden="false" customHeight="false" outlineLevel="0" collapsed="false">
      <c r="A12" s="15" t="s">
        <v>9</v>
      </c>
      <c r="B12" s="16"/>
      <c r="C12" s="13"/>
    </row>
    <row r="13" customFormat="false" ht="12.75" hidden="false" customHeight="false" outlineLevel="0" collapsed="false">
      <c r="A13" s="15" t="s">
        <v>10</v>
      </c>
      <c r="B13" s="16"/>
      <c r="C13" s="13"/>
    </row>
    <row r="14" customFormat="false" ht="12.75" hidden="false" customHeight="false" outlineLevel="0" collapsed="false">
      <c r="A14" s="15" t="s">
        <v>11</v>
      </c>
      <c r="B14" s="16"/>
      <c r="C14" s="13"/>
    </row>
    <row r="15" customFormat="false" ht="12.75" hidden="false" customHeight="false" outlineLevel="0" collapsed="false">
      <c r="A15" s="15" t="s">
        <v>12</v>
      </c>
      <c r="B15" s="16"/>
      <c r="C15" s="13"/>
    </row>
    <row r="16" customFormat="false" ht="12.75" hidden="false" customHeight="false" outlineLevel="0" collapsed="false">
      <c r="A16" s="15" t="s">
        <v>13</v>
      </c>
      <c r="B16" s="16"/>
      <c r="C16" s="13"/>
    </row>
    <row r="17" customFormat="false" ht="12.75" hidden="false" customHeight="false" outlineLevel="0" collapsed="false">
      <c r="A17" s="15" t="s">
        <v>14</v>
      </c>
      <c r="B17" s="16"/>
      <c r="C17" s="13"/>
    </row>
    <row r="18" customFormat="false" ht="12.75" hidden="false" customHeight="false" outlineLevel="0" collapsed="false">
      <c r="A18" s="15" t="s">
        <v>15</v>
      </c>
      <c r="B18" s="16"/>
      <c r="C18" s="13"/>
    </row>
    <row r="19" customFormat="false" ht="12.75" hidden="false" customHeight="false" outlineLevel="0" collapsed="false">
      <c r="A19" s="15" t="s">
        <v>16</v>
      </c>
      <c r="B19" s="16"/>
      <c r="C19" s="13"/>
    </row>
    <row r="20" customFormat="false" ht="12.75" hidden="false" customHeight="false" outlineLevel="0" collapsed="false">
      <c r="A20" s="15" t="s">
        <v>17</v>
      </c>
      <c r="B20" s="16"/>
      <c r="C20" s="13"/>
    </row>
    <row r="21" customFormat="false" ht="12.75" hidden="false" customHeight="false" outlineLevel="0" collapsed="false">
      <c r="A21" s="15" t="s">
        <v>18</v>
      </c>
      <c r="B21" s="16"/>
      <c r="C21" s="13"/>
    </row>
    <row r="22" customFormat="false" ht="12.75" hidden="false" customHeight="false" outlineLevel="0" collapsed="false">
      <c r="A22" s="15" t="s">
        <v>19</v>
      </c>
      <c r="B22" s="16"/>
      <c r="C22" s="13"/>
    </row>
    <row r="23" customFormat="false" ht="12.75" hidden="false" customHeight="false" outlineLevel="0" collapsed="false">
      <c r="A23" s="15" t="s">
        <v>20</v>
      </c>
      <c r="B23" s="16"/>
      <c r="C23" s="13"/>
    </row>
    <row r="24" customFormat="false" ht="12.75" hidden="false" customHeight="false" outlineLevel="0" collapsed="false">
      <c r="A24" s="15" t="s">
        <v>21</v>
      </c>
      <c r="B24" s="16"/>
      <c r="C24" s="13"/>
    </row>
    <row r="25" customFormat="false" ht="12.75" hidden="false" customHeight="false" outlineLevel="0" collapsed="false">
      <c r="A25" s="15" t="s">
        <v>22</v>
      </c>
      <c r="B25" s="16"/>
      <c r="C25" s="13"/>
    </row>
    <row r="26" customFormat="false" ht="12.75" hidden="false" customHeight="false" outlineLevel="0" collapsed="false">
      <c r="A26" s="15" t="s">
        <v>23</v>
      </c>
      <c r="B26" s="16"/>
      <c r="C26" s="13"/>
    </row>
    <row r="27" customFormat="false" ht="12.75" hidden="false" customHeight="false" outlineLevel="0" collapsed="false">
      <c r="A27" s="15" t="s">
        <v>24</v>
      </c>
      <c r="B27" s="16"/>
      <c r="C27" s="13"/>
    </row>
    <row r="28" customFormat="false" ht="12.75" hidden="false" customHeight="false" outlineLevel="0" collapsed="false">
      <c r="A28" s="15" t="s">
        <v>25</v>
      </c>
      <c r="B28" s="16"/>
      <c r="C28" s="13"/>
    </row>
    <row r="29" customFormat="false" ht="12.75" hidden="false" customHeight="false" outlineLevel="0" collapsed="false">
      <c r="A29" s="15" t="s">
        <v>26</v>
      </c>
      <c r="B29" s="16"/>
      <c r="C29" s="13"/>
    </row>
    <row r="30" customFormat="false" ht="12.75" hidden="false" customHeight="false" outlineLevel="0" collapsed="false">
      <c r="A30" s="15" t="s">
        <v>27</v>
      </c>
      <c r="B30" s="16"/>
      <c r="C30" s="13"/>
    </row>
    <row r="31" customFormat="false" ht="12.75" hidden="false" customHeight="false" outlineLevel="0" collapsed="false">
      <c r="A31" s="15" t="s">
        <v>28</v>
      </c>
      <c r="B31" s="16"/>
      <c r="C31" s="13"/>
    </row>
    <row r="32" customFormat="false" ht="12.75" hidden="false" customHeight="false" outlineLevel="0" collapsed="false">
      <c r="A32" s="15" t="s">
        <v>29</v>
      </c>
      <c r="B32" s="16"/>
      <c r="C32" s="13"/>
    </row>
    <row r="33" customFormat="false" ht="12.75" hidden="false" customHeight="false" outlineLevel="0" collapsed="false">
      <c r="A33" s="15" t="s">
        <v>30</v>
      </c>
      <c r="B33" s="16"/>
      <c r="C33" s="13"/>
    </row>
    <row r="34" customFormat="false" ht="12.75" hidden="false" customHeight="false" outlineLevel="0" collapsed="false">
      <c r="A34" s="15" t="s">
        <v>31</v>
      </c>
      <c r="B34" s="16"/>
      <c r="C34" s="13"/>
    </row>
    <row r="35" customFormat="false" ht="12.75" hidden="false" customHeight="false" outlineLevel="0" collapsed="false">
      <c r="A35" s="15" t="s">
        <v>32</v>
      </c>
      <c r="B35" s="16"/>
      <c r="C35" s="13"/>
    </row>
    <row r="36" customFormat="false" ht="12.75" hidden="false" customHeight="false" outlineLevel="0" collapsed="false">
      <c r="A36" s="15" t="s">
        <v>33</v>
      </c>
      <c r="B36" s="16"/>
      <c r="C36" s="13"/>
    </row>
    <row r="37" customFormat="false" ht="12.75" hidden="false" customHeight="false" outlineLevel="0" collapsed="false">
      <c r="A37" s="15" t="s">
        <v>34</v>
      </c>
      <c r="B37" s="16"/>
      <c r="C37" s="13"/>
    </row>
    <row r="38" customFormat="false" ht="12.75" hidden="false" customHeight="false" outlineLevel="0" collapsed="false">
      <c r="A38" s="15" t="s">
        <v>35</v>
      </c>
      <c r="B38" s="16"/>
      <c r="C38" s="13"/>
    </row>
    <row r="39" customFormat="false" ht="12.75" hidden="false" customHeight="false" outlineLevel="0" collapsed="false">
      <c r="A39" s="15" t="s">
        <v>36</v>
      </c>
      <c r="B39" s="16"/>
      <c r="C39" s="13"/>
    </row>
    <row r="40" customFormat="false" ht="12.75" hidden="false" customHeight="false" outlineLevel="0" collapsed="false">
      <c r="A40" s="15" t="s">
        <v>31</v>
      </c>
      <c r="B40" s="16"/>
      <c r="C40" s="13"/>
    </row>
    <row r="41" customFormat="false" ht="12.75" hidden="false" customHeight="false" outlineLevel="0" collapsed="false">
      <c r="A41" s="15" t="s">
        <v>37</v>
      </c>
      <c r="B41" s="16"/>
      <c r="C41" s="13"/>
    </row>
    <row r="42" customFormat="false" ht="15.75" hidden="false" customHeight="false" outlineLevel="0" collapsed="false">
      <c r="A42" s="14"/>
      <c r="B42" s="13"/>
      <c r="C42" s="13"/>
    </row>
    <row r="43" customFormat="false" ht="12.75" hidden="false" customHeight="false" outlineLevel="0" collapsed="false">
      <c r="A43" s="17"/>
      <c r="B43" s="13"/>
      <c r="C43" s="13"/>
    </row>
    <row r="44" customFormat="false" ht="18.75" hidden="false" customHeight="false" outlineLevel="0" collapsed="false">
      <c r="A44" s="18" t="s">
        <v>6</v>
      </c>
      <c r="B44" s="13"/>
      <c r="C44" s="13"/>
    </row>
    <row r="45" customFormat="false" ht="15.75" hidden="false" customHeight="false" outlineLevel="0" collapsed="false">
      <c r="A45" s="19" t="s">
        <v>38</v>
      </c>
      <c r="B45" s="13"/>
      <c r="C45" s="13"/>
    </row>
    <row r="46" customFormat="false" ht="15.75" hidden="false" customHeight="false" outlineLevel="0" collapsed="false">
      <c r="A46" s="19" t="s">
        <v>39</v>
      </c>
      <c r="B46" s="13"/>
      <c r="C46" s="13"/>
    </row>
    <row r="47" customFormat="false" ht="15.75" hidden="false" customHeight="false" outlineLevel="0" collapsed="false">
      <c r="A47" s="20" t="s">
        <v>40</v>
      </c>
      <c r="B47" s="13"/>
      <c r="C47" s="13"/>
    </row>
    <row r="48" customFormat="false" ht="15.75" hidden="false" customHeight="false" outlineLevel="0" collapsed="false">
      <c r="A48" s="21" t="s">
        <v>41</v>
      </c>
      <c r="B48" s="21"/>
      <c r="C48" s="13"/>
    </row>
    <row r="49" customFormat="false" ht="15.75" hidden="false" customHeight="false" outlineLevel="0" collapsed="false">
      <c r="A49" s="21" t="s">
        <v>42</v>
      </c>
      <c r="B49" s="21"/>
      <c r="C49" s="13"/>
    </row>
    <row r="50" customFormat="false" ht="15.75" hidden="false" customHeight="false" outlineLevel="0" collapsed="false">
      <c r="A50" s="21" t="s">
        <v>43</v>
      </c>
      <c r="B50" s="21"/>
      <c r="C50" s="13"/>
    </row>
    <row r="51" customFormat="false" ht="18.75" hidden="false" customHeight="false" outlineLevel="0" collapsed="false">
      <c r="A51" s="19" t="s">
        <v>44</v>
      </c>
      <c r="B51" s="13"/>
      <c r="C51" s="13"/>
    </row>
    <row r="52" customFormat="false" ht="15.75" hidden="false" customHeight="false" outlineLevel="0" collapsed="false">
      <c r="A52" s="20" t="s">
        <v>45</v>
      </c>
      <c r="B52" s="13"/>
      <c r="C52" s="13"/>
    </row>
    <row r="53" customFormat="false" ht="15.75" hidden="false" customHeight="false" outlineLevel="0" collapsed="false">
      <c r="A53" s="20"/>
      <c r="B53" s="13"/>
      <c r="C53" s="13"/>
    </row>
    <row r="54" customFormat="false" ht="18.75" hidden="false" customHeight="false" outlineLevel="0" collapsed="false">
      <c r="A54" s="18" t="s">
        <v>7</v>
      </c>
      <c r="B54" s="13"/>
      <c r="C54" s="13"/>
    </row>
    <row r="55" customFormat="false" ht="15.75" hidden="false" customHeight="false" outlineLevel="0" collapsed="false">
      <c r="A55" s="20" t="s">
        <v>46</v>
      </c>
      <c r="B55" s="13"/>
      <c r="C55" s="13"/>
    </row>
    <row r="56" customFormat="false" ht="31.5" hidden="false" customHeight="false" outlineLevel="0" collapsed="false">
      <c r="A56" s="20" t="s">
        <v>3</v>
      </c>
      <c r="B56" s="13"/>
      <c r="C56" s="13"/>
    </row>
    <row r="57" customFormat="false" ht="18.75" hidden="false" customHeight="false" outlineLevel="0" collapsed="false">
      <c r="A57" s="19" t="s">
        <v>47</v>
      </c>
      <c r="B57" s="13"/>
      <c r="C57" s="13"/>
    </row>
    <row r="58" s="1" customFormat="true" ht="15.75" hidden="false" customHeight="false" outlineLevel="0" collapsed="false">
      <c r="A58" s="19" t="s">
        <v>48</v>
      </c>
      <c r="B58" s="17"/>
      <c r="C58" s="17"/>
    </row>
    <row r="59" customFormat="false" ht="31.5" hidden="false" customHeight="false" outlineLevel="0" collapsed="false">
      <c r="A59" s="20" t="s">
        <v>49</v>
      </c>
      <c r="B59" s="13"/>
      <c r="C59" s="13"/>
    </row>
    <row r="60" customFormat="false" ht="15.75" hidden="false" customHeight="false" outlineLevel="0" collapsed="false">
      <c r="A60" s="20"/>
      <c r="B60" s="13"/>
      <c r="C60" s="13"/>
    </row>
    <row r="61" customFormat="false" ht="18.75" hidden="false" customHeight="false" outlineLevel="0" collapsed="false">
      <c r="A61" s="18" t="s">
        <v>8</v>
      </c>
      <c r="B61" s="13"/>
      <c r="C61" s="13"/>
    </row>
    <row r="62" customFormat="false" ht="15.75" hidden="false" customHeight="false" outlineLevel="0" collapsed="false">
      <c r="A62" s="20" t="s">
        <v>50</v>
      </c>
      <c r="B62" s="13"/>
      <c r="C62" s="13"/>
    </row>
    <row r="63" customFormat="false" ht="15.75" hidden="false" customHeight="false" outlineLevel="0" collapsed="false">
      <c r="A63" s="22" t="s">
        <v>51</v>
      </c>
      <c r="B63" s="13"/>
      <c r="C63" s="13"/>
    </row>
    <row r="64" customFormat="false" ht="15.75" hidden="false" customHeight="false" outlineLevel="0" collapsed="false">
      <c r="A64" s="22" t="s">
        <v>52</v>
      </c>
      <c r="B64" s="13"/>
      <c r="C64" s="13"/>
    </row>
    <row r="65" customFormat="false" ht="15.75" hidden="false" customHeight="false" outlineLevel="0" collapsed="false">
      <c r="A65" s="22" t="s">
        <v>53</v>
      </c>
      <c r="B65" s="13"/>
      <c r="C65" s="13"/>
    </row>
    <row r="66" customFormat="false" ht="15.75" hidden="false" customHeight="false" outlineLevel="0" collapsed="false">
      <c r="A66" s="22" t="s">
        <v>54</v>
      </c>
      <c r="B66" s="13"/>
      <c r="C66" s="13"/>
    </row>
    <row r="67" customFormat="false" ht="12.75" hidden="false" customHeight="false" outlineLevel="0" collapsed="false">
      <c r="A67" s="17"/>
      <c r="B67" s="13"/>
      <c r="C67" s="13"/>
    </row>
    <row r="68" customFormat="false" ht="18.75" hidden="false" customHeight="false" outlineLevel="0" collapsed="false">
      <c r="A68" s="18" t="s">
        <v>9</v>
      </c>
      <c r="B68" s="13"/>
      <c r="C68" s="13"/>
    </row>
    <row r="69" customFormat="false" ht="15.75" hidden="false" customHeight="false" outlineLevel="0" collapsed="false">
      <c r="A69" s="19" t="s">
        <v>55</v>
      </c>
      <c r="B69" s="13"/>
      <c r="C69" s="13"/>
    </row>
    <row r="70" customFormat="false" ht="15.75" hidden="false" customHeight="false" outlineLevel="0" collapsed="false">
      <c r="A70" s="19" t="s">
        <v>56</v>
      </c>
      <c r="B70" s="13"/>
      <c r="C70" s="13"/>
    </row>
    <row r="71" customFormat="false" ht="63" hidden="false" customHeight="false" outlineLevel="0" collapsed="false">
      <c r="A71" s="20" t="s">
        <v>57</v>
      </c>
      <c r="B71" s="13"/>
      <c r="C71" s="13"/>
    </row>
    <row r="72" customFormat="false" ht="31.5" hidden="false" customHeight="false" outlineLevel="0" collapsed="false">
      <c r="A72" s="20" t="s">
        <v>58</v>
      </c>
      <c r="B72" s="13"/>
      <c r="C72" s="13"/>
    </row>
    <row r="73" customFormat="false" ht="18.75" hidden="false" customHeight="false" outlineLevel="0" collapsed="false">
      <c r="A73" s="18"/>
      <c r="B73" s="13"/>
      <c r="C73" s="13"/>
    </row>
    <row r="74" customFormat="false" ht="18.75" hidden="false" customHeight="false" outlineLevel="0" collapsed="false">
      <c r="A74" s="18" t="s">
        <v>10</v>
      </c>
      <c r="B74" s="13"/>
      <c r="C74" s="13"/>
    </row>
    <row r="75" customFormat="false" ht="47.25" hidden="false" customHeight="false" outlineLevel="0" collapsed="false">
      <c r="A75" s="20" t="s">
        <v>59</v>
      </c>
      <c r="B75" s="13"/>
      <c r="C75" s="13"/>
    </row>
    <row r="76" customFormat="false" ht="15.75" hidden="false" customHeight="false" outlineLevel="0" collapsed="false">
      <c r="A76" s="20"/>
      <c r="B76" s="13"/>
      <c r="C76" s="13"/>
    </row>
    <row r="77" customFormat="false" ht="18.75" hidden="false" customHeight="false" outlineLevel="0" collapsed="false">
      <c r="A77" s="18" t="s">
        <v>11</v>
      </c>
      <c r="B77" s="13"/>
      <c r="C77" s="13"/>
    </row>
    <row r="78" customFormat="false" ht="15.75" hidden="false" customHeight="false" outlineLevel="0" collapsed="false">
      <c r="A78" s="19" t="s">
        <v>60</v>
      </c>
      <c r="B78" s="13"/>
      <c r="C78" s="13"/>
    </row>
    <row r="79" customFormat="false" ht="15.75" hidden="false" customHeight="false" outlineLevel="0" collapsed="false">
      <c r="A79" s="23" t="s">
        <v>12</v>
      </c>
      <c r="B79" s="13"/>
      <c r="C79" s="13"/>
    </row>
    <row r="80" customFormat="false" ht="31.5" hidden="false" customHeight="false" outlineLevel="0" collapsed="false">
      <c r="A80" s="20" t="s">
        <v>61</v>
      </c>
      <c r="B80" s="13"/>
      <c r="C80" s="13"/>
    </row>
    <row r="81" customFormat="false" ht="15.75" hidden="false" customHeight="false" outlineLevel="0" collapsed="false">
      <c r="A81" s="23" t="s">
        <v>13</v>
      </c>
      <c r="B81" s="13"/>
      <c r="C81" s="13"/>
    </row>
    <row r="82" customFormat="false" ht="47.25" hidden="false" customHeight="false" outlineLevel="0" collapsed="false">
      <c r="A82" s="20" t="s">
        <v>62</v>
      </c>
      <c r="B82" s="13"/>
      <c r="C82" s="13"/>
    </row>
    <row r="83" customFormat="false" ht="31.5" hidden="false" customHeight="false" outlineLevel="0" collapsed="false">
      <c r="A83" s="20" t="s">
        <v>63</v>
      </c>
      <c r="B83" s="13"/>
      <c r="C83" s="13"/>
    </row>
    <row r="84" customFormat="false" ht="47.25" hidden="false" customHeight="false" outlineLevel="0" collapsed="false">
      <c r="A84" s="20" t="s">
        <v>64</v>
      </c>
      <c r="B84" s="13"/>
      <c r="C84" s="13"/>
    </row>
    <row r="85" customFormat="false" ht="15.75" hidden="false" customHeight="false" outlineLevel="0" collapsed="false">
      <c r="A85" s="23" t="s">
        <v>14</v>
      </c>
      <c r="B85" s="13"/>
      <c r="C85" s="13"/>
    </row>
    <row r="86" customFormat="false" ht="47.25" hidden="false" customHeight="false" outlineLevel="0" collapsed="false">
      <c r="A86" s="20" t="s">
        <v>65</v>
      </c>
      <c r="B86" s="13"/>
      <c r="C86" s="13"/>
    </row>
    <row r="87" customFormat="false" ht="15.75" hidden="false" customHeight="false" outlineLevel="0" collapsed="false">
      <c r="A87" s="23" t="s">
        <v>15</v>
      </c>
      <c r="B87" s="13"/>
      <c r="C87" s="13"/>
    </row>
    <row r="88" customFormat="false" ht="31.5" hidden="false" customHeight="false" outlineLevel="0" collapsed="false">
      <c r="A88" s="20" t="s">
        <v>66</v>
      </c>
      <c r="B88" s="13"/>
      <c r="C88" s="13"/>
    </row>
    <row r="89" customFormat="false" ht="15.75" hidden="false" customHeight="false" outlineLevel="0" collapsed="false">
      <c r="A89" s="23" t="s">
        <v>16</v>
      </c>
      <c r="B89" s="13"/>
      <c r="C89" s="13"/>
    </row>
    <row r="90" customFormat="false" ht="47.25" hidden="false" customHeight="false" outlineLevel="0" collapsed="false">
      <c r="A90" s="20" t="s">
        <v>67</v>
      </c>
      <c r="B90" s="13"/>
      <c r="C90" s="13"/>
    </row>
    <row r="91" customFormat="false" ht="15.75" hidden="false" customHeight="false" outlineLevel="0" collapsed="false">
      <c r="A91" s="23" t="s">
        <v>17</v>
      </c>
      <c r="B91" s="13"/>
      <c r="C91" s="13"/>
    </row>
    <row r="92" customFormat="false" ht="78.75" hidden="false" customHeight="false" outlineLevel="0" collapsed="false">
      <c r="A92" s="20" t="s">
        <v>68</v>
      </c>
      <c r="B92" s="13"/>
      <c r="C92" s="13"/>
    </row>
    <row r="93" customFormat="false" ht="31.5" hidden="false" customHeight="false" outlineLevel="0" collapsed="false">
      <c r="A93" s="20" t="s">
        <v>69</v>
      </c>
      <c r="B93" s="13"/>
      <c r="C93" s="13"/>
    </row>
    <row r="94" customFormat="false" ht="31.5" hidden="false" customHeight="false" outlineLevel="0" collapsed="false">
      <c r="A94" s="20" t="s">
        <v>70</v>
      </c>
      <c r="B94" s="13"/>
      <c r="C94" s="13"/>
    </row>
    <row r="95" customFormat="false" ht="55.45" hidden="false" customHeight="true" outlineLevel="0" collapsed="false">
      <c r="A95" s="19" t="s">
        <v>71</v>
      </c>
      <c r="B95" s="13"/>
      <c r="C95" s="13"/>
    </row>
    <row r="96" customFormat="false" ht="29.5" hidden="false" customHeight="true" outlineLevel="0" collapsed="false">
      <c r="A96" s="24" t="s">
        <v>72</v>
      </c>
      <c r="B96" s="13"/>
      <c r="C96" s="13"/>
    </row>
    <row r="97" customFormat="false" ht="15.75" hidden="false" customHeight="false" outlineLevel="0" collapsed="false">
      <c r="A97" s="23" t="s">
        <v>18</v>
      </c>
      <c r="B97" s="13"/>
      <c r="C97" s="13"/>
    </row>
    <row r="98" customFormat="false" ht="47.25" hidden="false" customHeight="false" outlineLevel="0" collapsed="false">
      <c r="A98" s="20" t="s">
        <v>73</v>
      </c>
      <c r="B98" s="13"/>
      <c r="C98" s="13"/>
    </row>
    <row r="99" customFormat="false" ht="31.5" hidden="false" customHeight="false" outlineLevel="0" collapsed="false">
      <c r="A99" s="20" t="s">
        <v>74</v>
      </c>
      <c r="B99" s="13"/>
      <c r="C99" s="13"/>
    </row>
    <row r="100" customFormat="false" ht="15.75" hidden="false" customHeight="false" outlineLevel="0" collapsed="false">
      <c r="A100" s="23" t="s">
        <v>19</v>
      </c>
      <c r="B100" s="13"/>
      <c r="C100" s="13"/>
    </row>
    <row r="101" customFormat="false" ht="63" hidden="false" customHeight="false" outlineLevel="0" collapsed="false">
      <c r="A101" s="20" t="s">
        <v>75</v>
      </c>
      <c r="B101" s="13"/>
      <c r="C101" s="13"/>
    </row>
    <row r="102" customFormat="false" ht="15.75" hidden="false" customHeight="false" outlineLevel="0" collapsed="false">
      <c r="A102" s="23" t="s">
        <v>20</v>
      </c>
      <c r="B102" s="13"/>
      <c r="C102" s="13"/>
    </row>
    <row r="103" customFormat="false" ht="31.5" hidden="false" customHeight="false" outlineLevel="0" collapsed="false">
      <c r="A103" s="20" t="s">
        <v>76</v>
      </c>
      <c r="B103" s="13"/>
      <c r="C103" s="13"/>
    </row>
    <row r="104" customFormat="false" ht="31.5" hidden="false" customHeight="false" outlineLevel="0" collapsed="false">
      <c r="A104" s="20" t="s">
        <v>77</v>
      </c>
      <c r="B104" s="13"/>
      <c r="C104" s="13"/>
    </row>
    <row r="105" customFormat="false" ht="15.75" hidden="false" customHeight="false" outlineLevel="0" collapsed="false">
      <c r="A105" s="25" t="s">
        <v>78</v>
      </c>
      <c r="B105" s="13"/>
      <c r="C105" s="13"/>
    </row>
    <row r="106" customFormat="false" ht="31.5" hidden="false" customHeight="false" outlineLevel="0" collapsed="false">
      <c r="A106" s="20" t="s">
        <v>79</v>
      </c>
      <c r="B106" s="13"/>
      <c r="C106" s="13"/>
    </row>
    <row r="107" customFormat="false" ht="15.75" hidden="false" customHeight="false" outlineLevel="0" collapsed="false">
      <c r="A107" s="23"/>
      <c r="B107" s="13"/>
      <c r="C107" s="13"/>
    </row>
    <row r="108" customFormat="false" ht="15.75" hidden="false" customHeight="false" outlineLevel="0" collapsed="false">
      <c r="A108" s="23" t="s">
        <v>21</v>
      </c>
      <c r="B108" s="13"/>
      <c r="C108" s="13"/>
    </row>
    <row r="109" customFormat="false" ht="47.25" hidden="false" customHeight="false" outlineLevel="0" collapsed="false">
      <c r="A109" s="20" t="s">
        <v>80</v>
      </c>
      <c r="B109" s="13"/>
      <c r="C109" s="13"/>
    </row>
    <row r="110" customFormat="false" ht="15.75" hidden="false" customHeight="false" outlineLevel="0" collapsed="false">
      <c r="A110" s="26" t="s">
        <v>81</v>
      </c>
      <c r="B110" s="13"/>
      <c r="C110" s="13"/>
    </row>
    <row r="111" customFormat="false" ht="15.75" hidden="false" customHeight="false" outlineLevel="0" collapsed="false">
      <c r="A111" s="23"/>
      <c r="B111" s="13"/>
      <c r="C111" s="13"/>
    </row>
    <row r="112" customFormat="false" ht="15.75" hidden="false" customHeight="false" outlineLevel="0" collapsed="false">
      <c r="A112" s="23" t="s">
        <v>22</v>
      </c>
      <c r="B112" s="13"/>
      <c r="C112" s="13"/>
    </row>
    <row r="113" customFormat="false" ht="47.25" hidden="false" customHeight="false" outlineLevel="0" collapsed="false">
      <c r="A113" s="20" t="s">
        <v>82</v>
      </c>
      <c r="B113" s="13"/>
      <c r="C113" s="13"/>
    </row>
    <row r="114" customFormat="false" ht="15.75" hidden="false" customHeight="false" outlineLevel="0" collapsed="false">
      <c r="A114" s="23" t="s">
        <v>23</v>
      </c>
      <c r="B114" s="13"/>
      <c r="C114" s="13"/>
    </row>
    <row r="115" customFormat="false" ht="12.75" hidden="false" customHeight="false" outlineLevel="0" collapsed="false">
      <c r="A115" s="27" t="s">
        <v>83</v>
      </c>
      <c r="B115" s="13"/>
      <c r="C115" s="13"/>
    </row>
    <row r="116" customFormat="false" ht="47.25" hidden="false" customHeight="false" outlineLevel="0" collapsed="false">
      <c r="A116" s="20" t="s">
        <v>84</v>
      </c>
      <c r="B116" s="13"/>
      <c r="C116" s="13"/>
    </row>
    <row r="117" customFormat="false" ht="31.5" hidden="false" customHeight="false" outlineLevel="0" collapsed="false">
      <c r="A117" s="20" t="s">
        <v>85</v>
      </c>
      <c r="B117" s="13"/>
      <c r="C117" s="13"/>
    </row>
    <row r="118" customFormat="false" ht="15.75" hidden="false" customHeight="false" outlineLevel="0" collapsed="false">
      <c r="A118" s="23"/>
      <c r="B118" s="13"/>
      <c r="C118" s="13"/>
    </row>
    <row r="119" customFormat="false" ht="15.75" hidden="false" customHeight="false" outlineLevel="0" collapsed="false">
      <c r="A119" s="23" t="s">
        <v>24</v>
      </c>
      <c r="B119" s="13"/>
      <c r="C119" s="13"/>
    </row>
    <row r="120" customFormat="false" ht="12.75" hidden="false" customHeight="false" outlineLevel="0" collapsed="false">
      <c r="A120" s="27" t="s">
        <v>86</v>
      </c>
      <c r="B120" s="13"/>
      <c r="C120" s="13"/>
    </row>
    <row r="121" customFormat="false" ht="31.5" hidden="false" customHeight="false" outlineLevel="0" collapsed="false">
      <c r="A121" s="20" t="s">
        <v>87</v>
      </c>
      <c r="B121" s="13"/>
      <c r="C121" s="13"/>
    </row>
    <row r="122" customFormat="false" ht="12.75" hidden="false" customHeight="false" outlineLevel="0" collapsed="false">
      <c r="A122" s="28" t="s">
        <v>88</v>
      </c>
      <c r="B122" s="13"/>
      <c r="C122" s="13"/>
    </row>
    <row r="123" customFormat="false" ht="12.75" hidden="false" customHeight="false" outlineLevel="0" collapsed="false">
      <c r="A123" s="28" t="s">
        <v>89</v>
      </c>
      <c r="B123" s="13"/>
      <c r="C123" s="13"/>
    </row>
    <row r="124" customFormat="false" ht="12.75" hidden="false" customHeight="false" outlineLevel="0" collapsed="false">
      <c r="A124" s="28" t="s">
        <v>90</v>
      </c>
      <c r="B124" s="13"/>
      <c r="C124" s="13"/>
    </row>
    <row r="125" customFormat="false" ht="12.75" hidden="false" customHeight="false" outlineLevel="0" collapsed="false">
      <c r="A125" s="28" t="s">
        <v>91</v>
      </c>
      <c r="B125" s="13"/>
      <c r="C125" s="13"/>
    </row>
    <row r="126" customFormat="false" ht="15.75" hidden="false" customHeight="false" outlineLevel="0" collapsed="false">
      <c r="A126" s="23" t="s">
        <v>25</v>
      </c>
      <c r="B126" s="13"/>
      <c r="C126" s="13"/>
    </row>
    <row r="127" customFormat="false" ht="15.75" hidden="false" customHeight="false" outlineLevel="0" collapsed="false">
      <c r="A127" s="19" t="s">
        <v>92</v>
      </c>
      <c r="B127" s="13"/>
      <c r="C127" s="13"/>
    </row>
    <row r="128" customFormat="false" ht="15.75" hidden="false" customHeight="false" outlineLevel="0" collapsed="false">
      <c r="A128" s="24" t="s">
        <v>93</v>
      </c>
      <c r="B128" s="13"/>
      <c r="C128" s="13"/>
    </row>
    <row r="129" customFormat="false" ht="15.75" hidden="false" customHeight="false" outlineLevel="0" collapsed="false">
      <c r="A129" s="23"/>
      <c r="B129" s="13"/>
      <c r="C129" s="13"/>
    </row>
    <row r="130" customFormat="false" ht="15.75" hidden="false" customHeight="false" outlineLevel="0" collapsed="false">
      <c r="A130" s="23" t="s">
        <v>26</v>
      </c>
      <c r="B130" s="13"/>
      <c r="C130" s="13"/>
    </row>
    <row r="131" customFormat="false" ht="15.75" hidden="false" customHeight="false" outlineLevel="0" collapsed="false">
      <c r="A131" s="20" t="s">
        <v>94</v>
      </c>
      <c r="B131" s="13"/>
      <c r="C131" s="13"/>
    </row>
    <row r="132" customFormat="false" ht="15.75" hidden="false" customHeight="false" outlineLevel="0" collapsed="false">
      <c r="A132" s="23"/>
      <c r="B132" s="13"/>
      <c r="C132" s="13"/>
    </row>
    <row r="133" customFormat="false" ht="15.75" hidden="false" customHeight="false" outlineLevel="0" collapsed="false">
      <c r="A133" s="23" t="s">
        <v>27</v>
      </c>
      <c r="B133" s="13"/>
      <c r="C133" s="13"/>
    </row>
    <row r="134" customFormat="false" ht="31.5" hidden="false" customHeight="false" outlineLevel="0" collapsed="false">
      <c r="A134" s="20" t="s">
        <v>95</v>
      </c>
      <c r="B134" s="13"/>
      <c r="C134" s="13"/>
    </row>
    <row r="135" customFormat="false" ht="15.75" hidden="false" customHeight="false" outlineLevel="0" collapsed="false">
      <c r="A135" s="23"/>
      <c r="B135" s="13"/>
      <c r="C135" s="13"/>
    </row>
    <row r="136" customFormat="false" ht="15.75" hidden="false" customHeight="false" outlineLevel="0" collapsed="false">
      <c r="A136" s="23" t="s">
        <v>28</v>
      </c>
      <c r="B136" s="13"/>
      <c r="C136" s="13"/>
    </row>
    <row r="137" customFormat="false" ht="31.5" hidden="false" customHeight="false" outlineLevel="0" collapsed="false">
      <c r="A137" s="20" t="s">
        <v>96</v>
      </c>
      <c r="B137" s="13"/>
      <c r="C137" s="13"/>
    </row>
    <row r="138" customFormat="false" ht="15.75" hidden="false" customHeight="false" outlineLevel="0" collapsed="false">
      <c r="A138" s="23"/>
      <c r="B138" s="13"/>
      <c r="C138" s="13"/>
    </row>
    <row r="139" customFormat="false" ht="15.75" hidden="false" customHeight="false" outlineLevel="0" collapsed="false">
      <c r="A139" s="23" t="s">
        <v>29</v>
      </c>
      <c r="B139" s="13"/>
      <c r="C139" s="13"/>
    </row>
    <row r="140" customFormat="false" ht="15.75" hidden="false" customHeight="false" outlineLevel="0" collapsed="false">
      <c r="A140" s="20" t="s">
        <v>97</v>
      </c>
      <c r="B140" s="13"/>
      <c r="C140" s="13"/>
    </row>
    <row r="141" customFormat="false" ht="15.75" hidden="false" customHeight="false" outlineLevel="0" collapsed="false">
      <c r="A141" s="23" t="s">
        <v>30</v>
      </c>
      <c r="B141" s="13"/>
      <c r="C141" s="13"/>
    </row>
    <row r="142" customFormat="false" ht="15.75" hidden="false" customHeight="false" outlineLevel="0" collapsed="false">
      <c r="A142" s="19" t="s">
        <v>98</v>
      </c>
      <c r="B142" s="13"/>
      <c r="C142" s="13"/>
    </row>
    <row r="143" customFormat="false" ht="15.75" hidden="false" customHeight="false" outlineLevel="0" collapsed="false">
      <c r="A143" s="23"/>
      <c r="B143" s="13"/>
      <c r="C143" s="13"/>
    </row>
    <row r="144" customFormat="false" ht="15.75" hidden="false" customHeight="false" outlineLevel="0" collapsed="false">
      <c r="A144" s="23" t="s">
        <v>31</v>
      </c>
      <c r="B144" s="13"/>
      <c r="C144" s="13"/>
    </row>
    <row r="145" customFormat="false" ht="31.5" hidden="false" customHeight="false" outlineLevel="0" collapsed="false">
      <c r="A145" s="20" t="s">
        <v>99</v>
      </c>
      <c r="B145" s="13"/>
      <c r="C145" s="13"/>
    </row>
    <row r="146" customFormat="false" ht="15.75" hidden="false" customHeight="false" outlineLevel="0" collapsed="false">
      <c r="A146" s="23"/>
      <c r="B146" s="13"/>
      <c r="C146" s="13"/>
    </row>
    <row r="147" customFormat="false" ht="15.75" hidden="false" customHeight="false" outlineLevel="0" collapsed="false">
      <c r="A147" s="23" t="s">
        <v>32</v>
      </c>
      <c r="B147" s="13"/>
      <c r="C147" s="13"/>
    </row>
    <row r="148" customFormat="false" ht="31.5" hidden="false" customHeight="false" outlineLevel="0" collapsed="false">
      <c r="A148" s="20" t="s">
        <v>100</v>
      </c>
      <c r="B148" s="13"/>
      <c r="C148" s="13"/>
    </row>
    <row r="149" customFormat="false" ht="18.75" hidden="false" customHeight="false" outlineLevel="0" collapsed="false">
      <c r="A149" s="29" t="s">
        <v>101</v>
      </c>
      <c r="B149" s="13"/>
      <c r="C149" s="13"/>
    </row>
    <row r="150" customFormat="false" ht="15.75" hidden="false" customHeight="false" outlineLevel="0" collapsed="false">
      <c r="A150" s="20"/>
      <c r="B150" s="13"/>
      <c r="C150" s="13"/>
    </row>
    <row r="151" customFormat="false" ht="18.75" hidden="false" customHeight="false" outlineLevel="0" collapsed="false">
      <c r="A151" s="18" t="s">
        <v>33</v>
      </c>
      <c r="B151" s="13"/>
      <c r="C151" s="13"/>
    </row>
    <row r="152" customFormat="false" ht="47.25" hidden="false" customHeight="false" outlineLevel="0" collapsed="false">
      <c r="A152" s="20" t="s">
        <v>102</v>
      </c>
      <c r="B152" s="13"/>
      <c r="C152" s="13"/>
    </row>
    <row r="153" customFormat="false" ht="15.75" hidden="false" customHeight="false" outlineLevel="0" collapsed="false">
      <c r="A153" s="23" t="s">
        <v>34</v>
      </c>
      <c r="B153" s="13"/>
      <c r="C153" s="13"/>
    </row>
    <row r="154" customFormat="false" ht="31.5" hidden="false" customHeight="false" outlineLevel="0" collapsed="false">
      <c r="A154" s="20" t="s">
        <v>103</v>
      </c>
      <c r="B154" s="13"/>
      <c r="C154" s="13"/>
    </row>
    <row r="155" customFormat="false" ht="15.75" hidden="false" customHeight="false" outlineLevel="0" collapsed="false">
      <c r="A155" s="23" t="s">
        <v>35</v>
      </c>
      <c r="B155" s="13"/>
      <c r="C155" s="13"/>
    </row>
    <row r="156" customFormat="false" ht="63" hidden="false" customHeight="false" outlineLevel="0" collapsed="false">
      <c r="A156" s="20" t="s">
        <v>104</v>
      </c>
      <c r="B156" s="13"/>
      <c r="C156" s="13"/>
    </row>
    <row r="157" customFormat="false" ht="31.5" hidden="false" customHeight="false" outlineLevel="0" collapsed="false">
      <c r="A157" s="20" t="s">
        <v>105</v>
      </c>
      <c r="B157" s="13"/>
      <c r="C157" s="13"/>
    </row>
    <row r="158" customFormat="false" ht="31.5" hidden="false" customHeight="false" outlineLevel="0" collapsed="false">
      <c r="A158" s="24" t="s">
        <v>106</v>
      </c>
      <c r="B158" s="13"/>
      <c r="C158" s="13"/>
    </row>
    <row r="159" customFormat="false" ht="15.75" hidden="false" customHeight="false" outlineLevel="0" collapsed="false">
      <c r="A159" s="19" t="s">
        <v>107</v>
      </c>
      <c r="B159" s="13"/>
      <c r="C159" s="13"/>
    </row>
    <row r="160" customFormat="false" ht="15.75" hidden="false" customHeight="false" outlineLevel="0" collapsed="false">
      <c r="A160" s="20"/>
      <c r="B160" s="13"/>
      <c r="C160" s="13"/>
    </row>
    <row r="161" customFormat="false" ht="12.75" hidden="false" customHeight="false" outlineLevel="0" collapsed="false">
      <c r="A161" s="30" t="s">
        <v>108</v>
      </c>
      <c r="B161" s="13"/>
      <c r="C161" s="13"/>
    </row>
    <row r="162" customFormat="false" ht="15.75" hidden="false" customHeight="false" outlineLevel="0" collapsed="false">
      <c r="A162" s="20"/>
      <c r="B162" s="13"/>
      <c r="C162" s="13"/>
    </row>
    <row r="163" customFormat="false" ht="31.5" hidden="false" customHeight="false" outlineLevel="0" collapsed="false">
      <c r="A163" s="20" t="s">
        <v>109</v>
      </c>
      <c r="B163" s="13"/>
      <c r="C163" s="13"/>
    </row>
    <row r="164" customFormat="false" ht="15.75" hidden="false" customHeight="false" outlineLevel="0" collapsed="false">
      <c r="A164" s="20"/>
      <c r="B164" s="13"/>
      <c r="C164" s="13"/>
    </row>
    <row r="165" customFormat="false" ht="12.75" hidden="false" customHeight="false" outlineLevel="0" collapsed="false">
      <c r="A165" s="30" t="s">
        <v>110</v>
      </c>
      <c r="B165" s="31" t="s">
        <v>111</v>
      </c>
      <c r="C165" s="31" t="s">
        <v>112</v>
      </c>
    </row>
    <row r="166" customFormat="false" ht="12.75" hidden="false" customHeight="false" outlineLevel="0" collapsed="false">
      <c r="A166" s="30" t="s">
        <v>113</v>
      </c>
      <c r="B166" s="31" t="s">
        <v>114</v>
      </c>
      <c r="C166" s="31" t="s">
        <v>115</v>
      </c>
    </row>
    <row r="167" customFormat="false" ht="12.75" hidden="false" customHeight="false" outlineLevel="0" collapsed="false">
      <c r="A167" s="30" t="s">
        <v>116</v>
      </c>
      <c r="B167" s="31" t="s">
        <v>117</v>
      </c>
      <c r="C167" s="31" t="s">
        <v>118</v>
      </c>
    </row>
    <row r="168" customFormat="false" ht="12.75" hidden="false" customHeight="false" outlineLevel="0" collapsed="false">
      <c r="A168" s="30" t="s">
        <v>119</v>
      </c>
      <c r="B168" s="31" t="s">
        <v>120</v>
      </c>
      <c r="C168" s="31" t="s">
        <v>121</v>
      </c>
    </row>
    <row r="169" customFormat="false" ht="12.75" hidden="false" customHeight="false" outlineLevel="0" collapsed="false">
      <c r="A169" s="30" t="s">
        <v>122</v>
      </c>
      <c r="B169" s="31" t="s">
        <v>123</v>
      </c>
      <c r="C169" s="31" t="s">
        <v>124</v>
      </c>
    </row>
    <row r="170" customFormat="false" ht="12.75" hidden="false" customHeight="false" outlineLevel="0" collapsed="false">
      <c r="A170" s="30" t="s">
        <v>125</v>
      </c>
      <c r="B170" s="31" t="s">
        <v>126</v>
      </c>
      <c r="C170" s="31" t="s">
        <v>127</v>
      </c>
    </row>
    <row r="171" customFormat="false" ht="12.75" hidden="false" customHeight="false" outlineLevel="0" collapsed="false">
      <c r="A171" s="30" t="s">
        <v>128</v>
      </c>
      <c r="B171" s="31" t="s">
        <v>129</v>
      </c>
      <c r="C171" s="31" t="s">
        <v>130</v>
      </c>
    </row>
    <row r="172" customFormat="false" ht="15.75" hidden="false" customHeight="false" outlineLevel="0" collapsed="false">
      <c r="A172" s="20"/>
      <c r="B172" s="13"/>
      <c r="C172" s="13"/>
    </row>
    <row r="173" customFormat="false" ht="15.75" hidden="false" customHeight="false" outlineLevel="0" collapsed="false">
      <c r="A173" s="20" t="s">
        <v>131</v>
      </c>
      <c r="B173" s="13"/>
      <c r="C173" s="13"/>
    </row>
    <row r="174" customFormat="false" ht="31.5" hidden="false" customHeight="false" outlineLevel="0" collapsed="false">
      <c r="A174" s="24" t="s">
        <v>132</v>
      </c>
      <c r="B174" s="13"/>
      <c r="C174" s="13"/>
    </row>
    <row r="175" customFormat="false" ht="15.75" hidden="false" customHeight="false" outlineLevel="0" collapsed="false">
      <c r="A175" s="23" t="s">
        <v>36</v>
      </c>
      <c r="B175" s="13"/>
      <c r="C175" s="13"/>
    </row>
    <row r="176" customFormat="false" ht="47.25" hidden="false" customHeight="false" outlineLevel="0" collapsed="false">
      <c r="A176" s="20" t="s">
        <v>133</v>
      </c>
      <c r="B176" s="13"/>
      <c r="C176" s="13"/>
    </row>
    <row r="177" customFormat="false" ht="15.75" hidden="false" customHeight="false" outlineLevel="0" collapsed="false">
      <c r="A177" s="24"/>
      <c r="B177" s="13"/>
      <c r="C177" s="13"/>
    </row>
    <row r="178" customFormat="false" ht="15.75" hidden="false" customHeight="false" outlineLevel="0" collapsed="false">
      <c r="A178" s="23" t="s">
        <v>31</v>
      </c>
      <c r="B178" s="13"/>
      <c r="C178" s="13"/>
    </row>
    <row r="179" customFormat="false" ht="15.75" hidden="false" customHeight="false" outlineLevel="0" collapsed="false">
      <c r="A179" s="19" t="s">
        <v>134</v>
      </c>
      <c r="B179" s="13"/>
      <c r="C179" s="13"/>
    </row>
    <row r="180" customFormat="false" ht="47.25" hidden="false" customHeight="false" outlineLevel="0" collapsed="false">
      <c r="A180" s="20" t="s">
        <v>135</v>
      </c>
      <c r="B180" s="13"/>
      <c r="C180" s="13"/>
    </row>
    <row r="181" customFormat="false" ht="15.75" hidden="false" customHeight="false" outlineLevel="0" collapsed="false">
      <c r="A181" s="20"/>
      <c r="B181" s="13"/>
      <c r="C181" s="13"/>
    </row>
    <row r="182" customFormat="false" ht="18.75" hidden="false" customHeight="false" outlineLevel="0" collapsed="false">
      <c r="A182" s="18" t="s">
        <v>37</v>
      </c>
      <c r="B182" s="13"/>
      <c r="C182" s="13"/>
    </row>
    <row r="183" customFormat="false" ht="15.75" hidden="false" customHeight="false" outlineLevel="0" collapsed="false">
      <c r="A183" s="19" t="s">
        <v>136</v>
      </c>
      <c r="B183" s="13"/>
      <c r="C183" s="13"/>
    </row>
  </sheetData>
  <hyperlinks>
    <hyperlink ref="A9" location="_Toc185140246" display="I. Version Info"/>
    <hyperlink ref="A10" location="_Toc185140247" display="II. Credits and Legal Info"/>
    <hyperlink ref="A11" location="_Toc185140248" display="III. Introduction"/>
    <hyperlink ref="A12" location="_Toc185140249" display="IV. Entering a Character"/>
    <hyperlink ref="A13" location="_Toc185140250" display="V. Using the Spreadsheet with Talent Options"/>
    <hyperlink ref="A14" location="_Toc185140251" display="VI. Guide to the Build Page"/>
    <hyperlink ref="A15" location="_Toc185140252" display="Personal Information"/>
    <hyperlink ref="A16" location="_Toc185140253" display="Attributes"/>
    <hyperlink ref="A17" location="_Toc185140254" display="Discipline Information"/>
    <hyperlink ref="A18" location="_Toc185140255" display="Earned Legend, Available Legend"/>
    <hyperlink ref="A19" location="_Toc185140256" display="Legend Point Breakdown"/>
    <hyperlink ref="A20" location="_Toc185140257" display="Talent Listings"/>
    <hyperlink ref="A21" location="_Toc185140258" display="Versatility/Other Talents"/>
    <hyperlink ref="A22" location="_Toc185140259" display="Knacks"/>
    <hyperlink ref="A23" location="_Toc185140260" display="Group Threads"/>
    <hyperlink ref="A24" location="_Toc185140261" display="Item Threads"/>
    <hyperlink ref="A25" location="_Toc185140262" display="Additional Increases"/>
    <hyperlink ref="A26" location="_Toc185140263" display="Skills"/>
    <hyperlink ref="A27" location="_Toc185140264" display="Equipment"/>
    <hyperlink ref="A28" location="_Toc185140265" display="Blood Magic"/>
    <hyperlink ref="A29" location="_Toc185140266" display="Money &amp; Valuables"/>
    <hyperlink ref="A30" location="_Toc185140267" display="Magical Treasure"/>
    <hyperlink ref="A31" location="_Toc185140268" display="Personality Quirks, Quirks &amp; Quotes, History &amp; Background, Miscellaneous Notes"/>
    <hyperlink ref="A32" location="_Toc185140269" display="Mount/Animal Companion"/>
    <hyperlink ref="A33" location="_Toc185140270" display="Legend Earned, Legend Spent"/>
    <hyperlink ref="A34" location="_Toc185140271" display="Spells"/>
    <hyperlink ref="A35" location="_Toc185140272" display="Calculations"/>
    <hyperlink ref="A36" location="_Toc185140273" display="VII. Modifying the Data"/>
    <hyperlink ref="A37" location="_Toc185140274" display="Races"/>
    <hyperlink ref="A38" location="_Toc185140275" display="Disciplines"/>
    <hyperlink ref="A39" location="_Toc185140276" display="Talents and Knacks"/>
    <hyperlink ref="A40" location="_Toc185140277" display="Spells"/>
    <hyperlink ref="A41" location="_Toc185140278" display="VII. Tips"/>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6" activeCellId="0" sqref="C6"/>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66"/>
    <col collapsed="false" customWidth="true" hidden="false" outlineLevel="0" max="5" min="3" style="0" width="2.82"/>
    <col collapsed="false" customWidth="true" hidden="false" outlineLevel="0" max="11" min="6" style="0" width="1.85"/>
    <col collapsed="false" customWidth="true" hidden="false" outlineLevel="0" max="12" min="12" style="0" width="2.02"/>
    <col collapsed="false" customWidth="true" hidden="false" outlineLevel="0" max="13" min="13" style="0" width="2.31"/>
    <col collapsed="false" customWidth="true" hidden="false" outlineLevel="0" max="14" min="14" style="0" width="5.5"/>
    <col collapsed="false" customWidth="true" hidden="false" outlineLevel="0" max="15" min="15" style="0" width="1.34"/>
    <col collapsed="false" customWidth="true" hidden="false" outlineLevel="0" max="16" min="16" style="0" width="3.67"/>
    <col collapsed="false" customWidth="true" hidden="false" outlineLevel="0" max="18" min="17" style="0" width="2.82"/>
    <col collapsed="false" customWidth="true" hidden="false" outlineLevel="0" max="19" min="19" style="0" width="2.02"/>
    <col collapsed="false" customWidth="true" hidden="false" outlineLevel="0" max="20" min="20" style="0" width="2.82"/>
    <col collapsed="false" customWidth="true" hidden="false" outlineLevel="0" max="21" min="21" style="0" width="1.85"/>
    <col collapsed="false" customWidth="true" hidden="false" outlineLevel="0" max="22" min="22" style="0" width="1.51"/>
    <col collapsed="false" customWidth="true" hidden="false" outlineLevel="0" max="23" min="23" style="0" width="2.82"/>
    <col collapsed="false" customWidth="true" hidden="false" outlineLevel="0" max="24" min="24" style="0" width="0.83"/>
    <col collapsed="false" customWidth="true" hidden="false" outlineLevel="0" max="25" min="25" style="0" width="3.83"/>
    <col collapsed="false" customWidth="true" hidden="false" outlineLevel="0" max="26" min="26" style="0" width="2.82"/>
    <col collapsed="false" customWidth="true" hidden="false" outlineLevel="0" max="27" min="27" style="0" width="23.84"/>
    <col collapsed="false" customWidth="true" hidden="false" outlineLevel="0" max="28" min="28" style="0" width="24.34"/>
    <col collapsed="false" customWidth="true" hidden="false" outlineLevel="0" max="29" min="29" style="0" width="15.98"/>
    <col collapsed="false" customWidth="true" hidden="false" outlineLevel="0" max="33" min="30" style="0" width="2.82"/>
    <col collapsed="false" customWidth="true" hidden="false" outlineLevel="0" max="34" min="34" style="0" width="2.02"/>
    <col collapsed="false" customWidth="true" hidden="false" outlineLevel="0" max="35" min="35" style="0" width="1.66"/>
    <col collapsed="false" customWidth="true" hidden="false" outlineLevel="0" max="36" min="36" style="0" width="1.51"/>
    <col collapsed="false" customWidth="true" hidden="false" outlineLevel="0" max="39" min="37" style="0" width="2.82"/>
    <col collapsed="false" customWidth="true" hidden="false" outlineLevel="0" max="1025" min="40" style="0" width="12.5"/>
  </cols>
  <sheetData>
    <row r="1" customFormat="false" ht="42" hidden="false" customHeight="true" outlineLevel="0" collapsed="false">
      <c r="A1" s="481" t="s">
        <v>1191</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1077</v>
      </c>
      <c r="B4" s="518"/>
      <c r="C4" s="519" t="s">
        <v>1179</v>
      </c>
      <c r="D4" s="519"/>
      <c r="E4" s="519"/>
      <c r="F4" s="519"/>
      <c r="G4" s="519"/>
      <c r="H4" s="519"/>
      <c r="I4" s="519"/>
      <c r="J4" s="519"/>
      <c r="K4" s="519"/>
      <c r="L4" s="523" t="s">
        <v>1180</v>
      </c>
      <c r="M4" s="523"/>
      <c r="N4" s="523" t="s">
        <v>978</v>
      </c>
      <c r="O4" s="523"/>
      <c r="P4" s="524" t="s">
        <v>1182</v>
      </c>
      <c r="Q4" s="524"/>
      <c r="R4" s="524" t="s">
        <v>1183</v>
      </c>
      <c r="S4" s="524"/>
      <c r="T4" s="523" t="s">
        <v>1192</v>
      </c>
      <c r="U4" s="523"/>
      <c r="V4" s="523"/>
      <c r="W4" s="523" t="s">
        <v>1193</v>
      </c>
      <c r="X4" s="523"/>
      <c r="Y4" s="523"/>
      <c r="Z4" s="488" t="s">
        <v>877</v>
      </c>
      <c r="AA4" s="488"/>
      <c r="AB4" s="488"/>
      <c r="AC4" s="488" t="s">
        <v>341</v>
      </c>
      <c r="AD4" s="488"/>
      <c r="AE4" s="488" t="s">
        <v>979</v>
      </c>
      <c r="AF4" s="488"/>
      <c r="AG4" s="488"/>
      <c r="AH4" s="488"/>
      <c r="AI4" s="488"/>
      <c r="AJ4" s="488"/>
      <c r="AK4" s="506" t="s">
        <v>1185</v>
      </c>
      <c r="AL4" s="506"/>
      <c r="AM4" s="506"/>
    </row>
    <row r="5" customFormat="false" ht="11.1" hidden="false" customHeight="true" outlineLevel="0" collapsed="false">
      <c r="A5" s="389"/>
      <c r="B5" s="389"/>
      <c r="C5" s="491" t="str">
        <f aca="true">IF(Build!AE617,OFFSET(Spells!AP$2,Build!AE617,0),"")</f>
        <v/>
      </c>
      <c r="D5" s="491"/>
      <c r="E5" s="491"/>
      <c r="F5" s="491"/>
      <c r="G5" s="491"/>
      <c r="H5" s="491"/>
      <c r="I5" s="491"/>
      <c r="J5" s="491"/>
      <c r="K5" s="491"/>
      <c r="L5" s="492" t="str">
        <f aca="true">IF(Build!AE617,OFFSET(Spells!AQ$2,Build!AE617,0),"")</f>
        <v/>
      </c>
      <c r="M5" s="492"/>
      <c r="N5" s="492" t="str">
        <f aca="true">IF(Build!AE617,OFFSET(Spells!AR$2,Build!AE617,0),"")</f>
        <v/>
      </c>
      <c r="O5" s="492"/>
      <c r="P5" s="492" t="str">
        <f aca="true">IF(Build!AE617,OFFSET(Spells!AS$2,Build!AE617,0),"")</f>
        <v/>
      </c>
      <c r="Q5" s="492"/>
      <c r="R5" s="492" t="str">
        <f aca="true">IF(Build!AE617,OFFSET(Spells!AT$2,Build!AE617,0),"")</f>
        <v/>
      </c>
      <c r="S5" s="492"/>
      <c r="T5" s="492" t="str">
        <f aca="true">IF(Build!AE617,OFFSET(Spells!AU$2,Build!AE617,0),"")</f>
        <v/>
      </c>
      <c r="U5" s="492"/>
      <c r="V5" s="492"/>
      <c r="W5" s="492" t="str">
        <f aca="true">IF(Build!AE617,OFFSET(Spells!AW$2,Build!AE617,0),"")</f>
        <v/>
      </c>
      <c r="X5" s="492"/>
      <c r="Y5" s="492"/>
      <c r="Z5" s="507" t="str">
        <f aca="false">Build!AK617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484" t="str">
        <f aca="true">IF(Build!AE617,OFFSET(Spells!AX$2,Build!AE617,0),"")</f>
        <v/>
      </c>
      <c r="AL5" s="484"/>
      <c r="AM5" s="484"/>
    </row>
    <row r="6" customFormat="false" ht="11.1" hidden="false" customHeight="true" outlineLevel="0" collapsed="false">
      <c r="A6" s="389"/>
      <c r="B6" s="389"/>
      <c r="C6" s="491" t="str">
        <f aca="true">IF(Build!AE618,OFFSET(Spells!AP$2,Build!AE618,0),"")</f>
        <v/>
      </c>
      <c r="D6" s="491"/>
      <c r="E6" s="491"/>
      <c r="F6" s="491"/>
      <c r="G6" s="491"/>
      <c r="H6" s="491"/>
      <c r="I6" s="491"/>
      <c r="J6" s="491"/>
      <c r="K6" s="491"/>
      <c r="L6" s="492" t="str">
        <f aca="true">IF(Build!AE618,OFFSET(Spells!AQ$2,Build!AE618,0),"")</f>
        <v/>
      </c>
      <c r="M6" s="492"/>
      <c r="N6" s="492" t="str">
        <f aca="true">IF(Build!AE618,OFFSET(Spells!AR$2,Build!AE618,0),"")</f>
        <v/>
      </c>
      <c r="O6" s="492"/>
      <c r="P6" s="492" t="str">
        <f aca="true">IF(Build!AE618,OFFSET(Spells!AS$2,Build!AE618,0),"")</f>
        <v/>
      </c>
      <c r="Q6" s="492"/>
      <c r="R6" s="492" t="str">
        <f aca="true">IF(Build!AE618,OFFSET(Spells!AT$2,Build!AE618,0),"")</f>
        <v/>
      </c>
      <c r="S6" s="492"/>
      <c r="T6" s="492" t="str">
        <f aca="true">IF(Build!AE618,OFFSET(Spells!AU$2,Build!AE618,0),"")</f>
        <v/>
      </c>
      <c r="U6" s="492"/>
      <c r="V6" s="492"/>
      <c r="W6" s="492" t="str">
        <f aca="true">IF(Build!AE618,OFFSET(Spells!AW$2,Build!AE618,0),"")</f>
        <v/>
      </c>
      <c r="X6" s="492"/>
      <c r="Y6" s="492"/>
      <c r="Z6" s="507" t="str">
        <f aca="false">Build!AK618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IF(Build!AE618,OFFSET(Spells!AX$2,Build!AE618,0),"")</f>
        <v/>
      </c>
      <c r="AL6" s="484"/>
      <c r="AM6" s="484"/>
    </row>
    <row r="7" customFormat="false" ht="11.1" hidden="false" customHeight="true" outlineLevel="0" collapsed="false">
      <c r="A7" s="389"/>
      <c r="B7" s="389"/>
      <c r="C7" s="491" t="str">
        <f aca="true">IF(Build!AE619,OFFSET(Spells!AP$2,Build!AE619,0),"")</f>
        <v/>
      </c>
      <c r="D7" s="491"/>
      <c r="E7" s="491"/>
      <c r="F7" s="491"/>
      <c r="G7" s="491"/>
      <c r="H7" s="491"/>
      <c r="I7" s="491"/>
      <c r="J7" s="491"/>
      <c r="K7" s="491"/>
      <c r="L7" s="492" t="str">
        <f aca="true">IF(Build!AE619,OFFSET(Spells!AQ$2,Build!AE619,0),"")</f>
        <v/>
      </c>
      <c r="M7" s="492"/>
      <c r="N7" s="492" t="str">
        <f aca="true">IF(Build!AE619,OFFSET(Spells!AR$2,Build!AE619,0),"")</f>
        <v/>
      </c>
      <c r="O7" s="492"/>
      <c r="P7" s="492" t="str">
        <f aca="true">IF(Build!AE619,OFFSET(Spells!AS$2,Build!AE619,0),"")</f>
        <v/>
      </c>
      <c r="Q7" s="492"/>
      <c r="R7" s="492" t="str">
        <f aca="true">IF(Build!AE619,OFFSET(Spells!AT$2,Build!AE619,0),"")</f>
        <v/>
      </c>
      <c r="S7" s="492"/>
      <c r="T7" s="492" t="str">
        <f aca="true">IF(Build!AE619,OFFSET(Spells!AU$2,Build!AE619,0),"")</f>
        <v/>
      </c>
      <c r="U7" s="492"/>
      <c r="V7" s="492"/>
      <c r="W7" s="492" t="str">
        <f aca="true">IF(Build!AE619,OFFSET(Spells!AW$2,Build!AE619,0),"")</f>
        <v/>
      </c>
      <c r="X7" s="492"/>
      <c r="Y7" s="492"/>
      <c r="Z7" s="507" t="str">
        <f aca="false">Build!AK619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IF(Build!AE619,OFFSET(Spells!AX$2,Build!AE619,0),"")</f>
        <v/>
      </c>
      <c r="AL7" s="484"/>
      <c r="AM7" s="484"/>
    </row>
    <row r="8" customFormat="false" ht="11.1" hidden="false" customHeight="true" outlineLevel="0" collapsed="false">
      <c r="A8" s="389"/>
      <c r="B8" s="389"/>
      <c r="C8" s="491" t="str">
        <f aca="true">IF(Build!AE620,OFFSET(Spells!AP$2,Build!AE620,0),"")</f>
        <v/>
      </c>
      <c r="D8" s="491"/>
      <c r="E8" s="491"/>
      <c r="F8" s="491"/>
      <c r="G8" s="491"/>
      <c r="H8" s="491"/>
      <c r="I8" s="491"/>
      <c r="J8" s="491"/>
      <c r="K8" s="491"/>
      <c r="L8" s="492" t="str">
        <f aca="true">IF(Build!AE620,OFFSET(Spells!AQ$2,Build!AE620,0),"")</f>
        <v/>
      </c>
      <c r="M8" s="492"/>
      <c r="N8" s="492" t="str">
        <f aca="true">IF(Build!AE620,OFFSET(Spells!AR$2,Build!AE620,0),"")</f>
        <v/>
      </c>
      <c r="O8" s="492"/>
      <c r="P8" s="492" t="str">
        <f aca="true">IF(Build!AE620,OFFSET(Spells!AS$2,Build!AE620,0),"")</f>
        <v/>
      </c>
      <c r="Q8" s="492"/>
      <c r="R8" s="492" t="str">
        <f aca="true">IF(Build!AE620,OFFSET(Spells!AT$2,Build!AE620,0),"")</f>
        <v/>
      </c>
      <c r="S8" s="492"/>
      <c r="T8" s="492" t="str">
        <f aca="true">IF(Build!AE620,OFFSET(Spells!AU$2,Build!AE620,0),"")</f>
        <v/>
      </c>
      <c r="U8" s="492"/>
      <c r="V8" s="492"/>
      <c r="W8" s="492" t="str">
        <f aca="true">IF(Build!AE620,OFFSET(Spells!AW$2,Build!AE620,0),"")</f>
        <v/>
      </c>
      <c r="X8" s="492"/>
      <c r="Y8" s="492"/>
      <c r="Z8" s="507" t="str">
        <f aca="false">Build!AK620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IF(Build!AE620,OFFSET(Spells!AX$2,Build!AE620,0),"")</f>
        <v/>
      </c>
      <c r="AL8" s="484"/>
      <c r="AM8" s="484"/>
    </row>
    <row r="9" customFormat="false" ht="11.1" hidden="false" customHeight="true" outlineLevel="0" collapsed="false">
      <c r="A9" s="389"/>
      <c r="B9" s="389"/>
      <c r="C9" s="491" t="str">
        <f aca="true">IF(Build!AE621,OFFSET(Spells!AP$2,Build!AE621,0),"")</f>
        <v/>
      </c>
      <c r="D9" s="491"/>
      <c r="E9" s="491"/>
      <c r="F9" s="491"/>
      <c r="G9" s="491"/>
      <c r="H9" s="491"/>
      <c r="I9" s="491"/>
      <c r="J9" s="491"/>
      <c r="K9" s="491"/>
      <c r="L9" s="492" t="str">
        <f aca="true">IF(Build!AE621,OFFSET(Spells!AQ$2,Build!AE621,0),"")</f>
        <v/>
      </c>
      <c r="M9" s="492"/>
      <c r="N9" s="492" t="str">
        <f aca="true">IF(Build!AE621,OFFSET(Spells!AR$2,Build!AE621,0),"")</f>
        <v/>
      </c>
      <c r="O9" s="492"/>
      <c r="P9" s="492" t="str">
        <f aca="true">IF(Build!AE621,OFFSET(Spells!AS$2,Build!AE621,0),"")</f>
        <v/>
      </c>
      <c r="Q9" s="492"/>
      <c r="R9" s="492" t="str">
        <f aca="true">IF(Build!AE621,OFFSET(Spells!AT$2,Build!AE621,0),"")</f>
        <v/>
      </c>
      <c r="S9" s="492"/>
      <c r="T9" s="492" t="str">
        <f aca="true">IF(Build!AE621,OFFSET(Spells!AU$2,Build!AE621,0),"")</f>
        <v/>
      </c>
      <c r="U9" s="492"/>
      <c r="V9" s="492"/>
      <c r="W9" s="492" t="str">
        <f aca="true">IF(Build!AE621,OFFSET(Spells!AW$2,Build!AE621,0),"")</f>
        <v/>
      </c>
      <c r="X9" s="492"/>
      <c r="Y9" s="492"/>
      <c r="Z9" s="507" t="str">
        <f aca="false">Build!AK621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IF(Build!AE621,OFFSET(Spells!AX$2,Build!AE621,0),"")</f>
        <v/>
      </c>
      <c r="AL9" s="484"/>
      <c r="AM9" s="484"/>
    </row>
    <row r="10" customFormat="false" ht="11.1" hidden="false" customHeight="true" outlineLevel="0" collapsed="false">
      <c r="A10" s="389"/>
      <c r="B10" s="389"/>
      <c r="C10" s="491" t="str">
        <f aca="true">IF(Build!AE622,OFFSET(Spells!AP$2,Build!AE622,0),"")</f>
        <v/>
      </c>
      <c r="D10" s="491"/>
      <c r="E10" s="491"/>
      <c r="F10" s="491"/>
      <c r="G10" s="491"/>
      <c r="H10" s="491"/>
      <c r="I10" s="491"/>
      <c r="J10" s="491"/>
      <c r="K10" s="491"/>
      <c r="L10" s="492" t="str">
        <f aca="true">IF(Build!AE622,OFFSET(Spells!AQ$2,Build!AE622,0),"")</f>
        <v/>
      </c>
      <c r="M10" s="492"/>
      <c r="N10" s="492" t="str">
        <f aca="true">IF(Build!AE622,OFFSET(Spells!AR$2,Build!AE622,0),"")</f>
        <v/>
      </c>
      <c r="O10" s="492"/>
      <c r="P10" s="492" t="str">
        <f aca="true">IF(Build!AE622,OFFSET(Spells!AS$2,Build!AE622,0),"")</f>
        <v/>
      </c>
      <c r="Q10" s="492"/>
      <c r="R10" s="492" t="str">
        <f aca="true">IF(Build!AE622,OFFSET(Spells!AT$2,Build!AE622,0),"")</f>
        <v/>
      </c>
      <c r="S10" s="492"/>
      <c r="T10" s="492" t="str">
        <f aca="true">IF(Build!AE622,OFFSET(Spells!AU$2,Build!AE622,0),"")</f>
        <v/>
      </c>
      <c r="U10" s="492"/>
      <c r="V10" s="492"/>
      <c r="W10" s="492" t="str">
        <f aca="true">IF(Build!AE622,OFFSET(Spells!AW$2,Build!AE622,0),"")</f>
        <v/>
      </c>
      <c r="X10" s="492"/>
      <c r="Y10" s="492"/>
      <c r="Z10" s="507" t="str">
        <f aca="false">Build!AK622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IF(Build!AE622,OFFSET(Spells!AX$2,Build!AE622,0),"")</f>
        <v/>
      </c>
      <c r="AL10" s="484"/>
      <c r="AM10" s="484"/>
    </row>
    <row r="11" customFormat="false" ht="11.1" hidden="false" customHeight="true" outlineLevel="0" collapsed="false">
      <c r="A11" s="389"/>
      <c r="B11" s="389"/>
      <c r="C11" s="491" t="str">
        <f aca="true">IF(Build!AE623,OFFSET(Spells!AP$2,Build!AE623,0),"")</f>
        <v/>
      </c>
      <c r="D11" s="491"/>
      <c r="E11" s="491"/>
      <c r="F11" s="491"/>
      <c r="G11" s="491"/>
      <c r="H11" s="491"/>
      <c r="I11" s="491"/>
      <c r="J11" s="491"/>
      <c r="K11" s="491"/>
      <c r="L11" s="492" t="str">
        <f aca="true">IF(Build!AE623,OFFSET(Spells!AQ$2,Build!AE623,0),"")</f>
        <v/>
      </c>
      <c r="M11" s="492"/>
      <c r="N11" s="492" t="str">
        <f aca="true">IF(Build!AE623,OFFSET(Spells!AR$2,Build!AE623,0),"")</f>
        <v/>
      </c>
      <c r="O11" s="492"/>
      <c r="P11" s="492" t="str">
        <f aca="true">IF(Build!AE623,OFFSET(Spells!AS$2,Build!AE623,0),"")</f>
        <v/>
      </c>
      <c r="Q11" s="492"/>
      <c r="R11" s="492" t="str">
        <f aca="true">IF(Build!AE623,OFFSET(Spells!AT$2,Build!AE623,0),"")</f>
        <v/>
      </c>
      <c r="S11" s="492"/>
      <c r="T11" s="492" t="str">
        <f aca="true">IF(Build!AE623,OFFSET(Spells!AU$2,Build!AE623,0),"")</f>
        <v/>
      </c>
      <c r="U11" s="492"/>
      <c r="V11" s="492"/>
      <c r="W11" s="492" t="str">
        <f aca="true">IF(Build!AE623,OFFSET(Spells!AW$2,Build!AE623,0),"")</f>
        <v/>
      </c>
      <c r="X11" s="492"/>
      <c r="Y11" s="492"/>
      <c r="Z11" s="507" t="str">
        <f aca="false">Build!AK623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IF(Build!AE623,OFFSET(Spells!AX$2,Build!AE623,0),"")</f>
        <v/>
      </c>
      <c r="AL11" s="484"/>
      <c r="AM11" s="484"/>
    </row>
    <row r="12" customFormat="false" ht="11.1" hidden="false" customHeight="true" outlineLevel="0" collapsed="false">
      <c r="A12" s="389"/>
      <c r="B12" s="389"/>
      <c r="C12" s="491" t="str">
        <f aca="true">IF(Build!AE624,OFFSET(Spells!AP$2,Build!AE624,0),"")</f>
        <v/>
      </c>
      <c r="D12" s="491"/>
      <c r="E12" s="491"/>
      <c r="F12" s="491"/>
      <c r="G12" s="491"/>
      <c r="H12" s="491"/>
      <c r="I12" s="491"/>
      <c r="J12" s="491"/>
      <c r="K12" s="491"/>
      <c r="L12" s="492" t="str">
        <f aca="true">IF(Build!AE624,OFFSET(Spells!AQ$2,Build!AE624,0),"")</f>
        <v/>
      </c>
      <c r="M12" s="492"/>
      <c r="N12" s="492" t="str">
        <f aca="true">IF(Build!AE624,OFFSET(Spells!AR$2,Build!AE624,0),"")</f>
        <v/>
      </c>
      <c r="O12" s="492"/>
      <c r="P12" s="492" t="str">
        <f aca="true">IF(Build!AE624,OFFSET(Spells!AS$2,Build!AE624,0),"")</f>
        <v/>
      </c>
      <c r="Q12" s="492"/>
      <c r="R12" s="492" t="str">
        <f aca="true">IF(Build!AE624,OFFSET(Spells!AT$2,Build!AE624,0),"")</f>
        <v/>
      </c>
      <c r="S12" s="492"/>
      <c r="T12" s="492" t="str">
        <f aca="true">IF(Build!AE624,OFFSET(Spells!AU$2,Build!AE624,0),"")</f>
        <v/>
      </c>
      <c r="U12" s="492"/>
      <c r="V12" s="492"/>
      <c r="W12" s="492" t="str">
        <f aca="true">IF(Build!AE624,OFFSET(Spells!AW$2,Build!AE624,0),"")</f>
        <v/>
      </c>
      <c r="X12" s="492"/>
      <c r="Y12" s="492"/>
      <c r="Z12" s="507" t="str">
        <f aca="false">Build!AK624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IF(Build!AE624,OFFSET(Spells!AX$2,Build!AE624,0),"")</f>
        <v/>
      </c>
      <c r="AL12" s="484"/>
      <c r="AM12" s="484"/>
    </row>
    <row r="13" customFormat="false" ht="11.1" hidden="false" customHeight="true" outlineLevel="0" collapsed="false">
      <c r="A13" s="389"/>
      <c r="B13" s="389"/>
      <c r="C13" s="491" t="str">
        <f aca="true">IF(Build!AE625,OFFSET(Spells!AP$2,Build!AE625,0),"")</f>
        <v/>
      </c>
      <c r="D13" s="491"/>
      <c r="E13" s="491"/>
      <c r="F13" s="491"/>
      <c r="G13" s="491"/>
      <c r="H13" s="491"/>
      <c r="I13" s="491"/>
      <c r="J13" s="491"/>
      <c r="K13" s="491"/>
      <c r="L13" s="492" t="str">
        <f aca="true">IF(Build!AE625,OFFSET(Spells!AQ$2,Build!AE625,0),"")</f>
        <v/>
      </c>
      <c r="M13" s="492"/>
      <c r="N13" s="492" t="str">
        <f aca="true">IF(Build!AE625,OFFSET(Spells!AR$2,Build!AE625,0),"")</f>
        <v/>
      </c>
      <c r="O13" s="492"/>
      <c r="P13" s="492" t="str">
        <f aca="true">IF(Build!AE625,OFFSET(Spells!AS$2,Build!AE625,0),"")</f>
        <v/>
      </c>
      <c r="Q13" s="492"/>
      <c r="R13" s="492" t="str">
        <f aca="true">IF(Build!AE625,OFFSET(Spells!AT$2,Build!AE625,0),"")</f>
        <v/>
      </c>
      <c r="S13" s="492"/>
      <c r="T13" s="492" t="str">
        <f aca="true">IF(Build!AE625,OFFSET(Spells!AU$2,Build!AE625,0),"")</f>
        <v/>
      </c>
      <c r="U13" s="492"/>
      <c r="V13" s="492"/>
      <c r="W13" s="492" t="str">
        <f aca="true">IF(Build!AE625,OFFSET(Spells!AW$2,Build!AE625,0),"")</f>
        <v/>
      </c>
      <c r="X13" s="492"/>
      <c r="Y13" s="492"/>
      <c r="Z13" s="507" t="str">
        <f aca="false">Build!AK625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IF(Build!AE625,OFFSET(Spells!AX$2,Build!AE625,0),"")</f>
        <v/>
      </c>
      <c r="AL13" s="484"/>
      <c r="AM13" s="484"/>
    </row>
    <row r="14" customFormat="false" ht="11.1" hidden="false" customHeight="true" outlineLevel="0" collapsed="false">
      <c r="A14" s="389"/>
      <c r="B14" s="389"/>
      <c r="C14" s="491" t="str">
        <f aca="true">IF(Build!AE626,OFFSET(Spells!AP$2,Build!AE626,0),"")</f>
        <v/>
      </c>
      <c r="D14" s="491"/>
      <c r="E14" s="491"/>
      <c r="F14" s="491"/>
      <c r="G14" s="491"/>
      <c r="H14" s="491"/>
      <c r="I14" s="491"/>
      <c r="J14" s="491"/>
      <c r="K14" s="491"/>
      <c r="L14" s="492" t="str">
        <f aca="true">IF(Build!AE626,OFFSET(Spells!AQ$2,Build!AE626,0),"")</f>
        <v/>
      </c>
      <c r="M14" s="492"/>
      <c r="N14" s="492" t="str">
        <f aca="true">IF(Build!AE626,OFFSET(Spells!AR$2,Build!AE626,0),"")</f>
        <v/>
      </c>
      <c r="O14" s="492"/>
      <c r="P14" s="492" t="str">
        <f aca="true">IF(Build!AE626,OFFSET(Spells!AS$2,Build!AE626,0),"")</f>
        <v/>
      </c>
      <c r="Q14" s="492"/>
      <c r="R14" s="492" t="str">
        <f aca="true">IF(Build!AE626,OFFSET(Spells!AT$2,Build!AE626,0),"")</f>
        <v/>
      </c>
      <c r="S14" s="492"/>
      <c r="T14" s="492" t="str">
        <f aca="true">IF(Build!AE626,OFFSET(Spells!AU$2,Build!AE626,0),"")</f>
        <v/>
      </c>
      <c r="U14" s="492"/>
      <c r="V14" s="492"/>
      <c r="W14" s="492" t="str">
        <f aca="true">IF(Build!AE626,OFFSET(Spells!AW$2,Build!AE626,0),"")</f>
        <v/>
      </c>
      <c r="X14" s="492"/>
      <c r="Y14" s="492"/>
      <c r="Z14" s="507" t="str">
        <f aca="false">Build!AK626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IF(Build!AE626,OFFSET(Spells!AX$2,Build!AE626,0),"")</f>
        <v/>
      </c>
      <c r="AL14" s="484"/>
      <c r="AM14" s="484"/>
    </row>
    <row r="15" customFormat="false" ht="11.1" hidden="false" customHeight="true" outlineLevel="0" collapsed="false">
      <c r="A15" s="389"/>
      <c r="B15" s="389"/>
      <c r="C15" s="491" t="str">
        <f aca="true">IF(Build!AE627,OFFSET(Spells!AP$2,Build!AE627,0),"")</f>
        <v/>
      </c>
      <c r="D15" s="491"/>
      <c r="E15" s="491"/>
      <c r="F15" s="491"/>
      <c r="G15" s="491"/>
      <c r="H15" s="491"/>
      <c r="I15" s="491"/>
      <c r="J15" s="491"/>
      <c r="K15" s="491"/>
      <c r="L15" s="492" t="str">
        <f aca="true">IF(Build!AE627,OFFSET(Spells!AQ$2,Build!AE627,0),"")</f>
        <v/>
      </c>
      <c r="M15" s="492"/>
      <c r="N15" s="492" t="str">
        <f aca="true">IF(Build!AE627,OFFSET(Spells!AR$2,Build!AE627,0),"")</f>
        <v/>
      </c>
      <c r="O15" s="492"/>
      <c r="P15" s="492" t="str">
        <f aca="true">IF(Build!AE627,OFFSET(Spells!AS$2,Build!AE627,0),"")</f>
        <v/>
      </c>
      <c r="Q15" s="492"/>
      <c r="R15" s="492" t="str">
        <f aca="true">IF(Build!AE627,OFFSET(Spells!AT$2,Build!AE627,0),"")</f>
        <v/>
      </c>
      <c r="S15" s="492"/>
      <c r="T15" s="492" t="str">
        <f aca="true">IF(Build!AE627,OFFSET(Spells!AU$2,Build!AE627,0),"")</f>
        <v/>
      </c>
      <c r="U15" s="492"/>
      <c r="V15" s="492"/>
      <c r="W15" s="492" t="str">
        <f aca="true">IF(Build!AE627,OFFSET(Spells!AW$2,Build!AE627,0),"")</f>
        <v/>
      </c>
      <c r="X15" s="492"/>
      <c r="Y15" s="492"/>
      <c r="Z15" s="507" t="str">
        <f aca="false">Build!AK627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IF(Build!AE627,OFFSET(Spells!AX$2,Build!AE627,0),"")</f>
        <v/>
      </c>
      <c r="AL15" s="484"/>
      <c r="AM15" s="484"/>
    </row>
    <row r="16" customFormat="false" ht="11.1" hidden="false" customHeight="true" outlineLevel="0" collapsed="false">
      <c r="A16" s="389"/>
      <c r="B16" s="389"/>
      <c r="C16" s="491" t="str">
        <f aca="true">IF(Build!AE628,OFFSET(Spells!AP$2,Build!AE628,0),"")</f>
        <v/>
      </c>
      <c r="D16" s="491"/>
      <c r="E16" s="491"/>
      <c r="F16" s="491"/>
      <c r="G16" s="491"/>
      <c r="H16" s="491"/>
      <c r="I16" s="491"/>
      <c r="J16" s="491"/>
      <c r="K16" s="491"/>
      <c r="L16" s="492" t="str">
        <f aca="true">IF(Build!AE628,OFFSET(Spells!AQ$2,Build!AE628,0),"")</f>
        <v/>
      </c>
      <c r="M16" s="492"/>
      <c r="N16" s="492" t="str">
        <f aca="true">IF(Build!AE628,OFFSET(Spells!AR$2,Build!AE628,0),"")</f>
        <v/>
      </c>
      <c r="O16" s="492"/>
      <c r="P16" s="492" t="str">
        <f aca="true">IF(Build!AE628,OFFSET(Spells!AS$2,Build!AE628,0),"")</f>
        <v/>
      </c>
      <c r="Q16" s="492"/>
      <c r="R16" s="492" t="str">
        <f aca="true">IF(Build!AE628,OFFSET(Spells!AT$2,Build!AE628,0),"")</f>
        <v/>
      </c>
      <c r="S16" s="492"/>
      <c r="T16" s="492" t="str">
        <f aca="true">IF(Build!AE628,OFFSET(Spells!AU$2,Build!AE628,0),"")</f>
        <v/>
      </c>
      <c r="U16" s="492"/>
      <c r="V16" s="492"/>
      <c r="W16" s="492" t="str">
        <f aca="true">IF(Build!AE628,OFFSET(Spells!AW$2,Build!AE628,0),"")</f>
        <v/>
      </c>
      <c r="X16" s="492"/>
      <c r="Y16" s="492"/>
      <c r="Z16" s="507" t="str">
        <f aca="false">Build!AK628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IF(Build!AE628,OFFSET(Spells!AX$2,Build!AE628,0),"")</f>
        <v/>
      </c>
      <c r="AL16" s="484"/>
      <c r="AM16" s="484"/>
    </row>
    <row r="17" customFormat="false" ht="11.1" hidden="false" customHeight="true" outlineLevel="0" collapsed="false">
      <c r="A17" s="389"/>
      <c r="B17" s="389"/>
      <c r="C17" s="491" t="str">
        <f aca="true">IF(Build!AE629,OFFSET(Spells!AP$2,Build!AE629,0),"")</f>
        <v/>
      </c>
      <c r="D17" s="491"/>
      <c r="E17" s="491"/>
      <c r="F17" s="491"/>
      <c r="G17" s="491"/>
      <c r="H17" s="491"/>
      <c r="I17" s="491"/>
      <c r="J17" s="491"/>
      <c r="K17" s="491"/>
      <c r="L17" s="492" t="str">
        <f aca="true">IF(Build!AE629,OFFSET(Spells!AQ$2,Build!AE629,0),"")</f>
        <v/>
      </c>
      <c r="M17" s="492"/>
      <c r="N17" s="492" t="str">
        <f aca="true">IF(Build!AE629,OFFSET(Spells!AR$2,Build!AE629,0),"")</f>
        <v/>
      </c>
      <c r="O17" s="492"/>
      <c r="P17" s="492" t="str">
        <f aca="true">IF(Build!AE629,OFFSET(Spells!AS$2,Build!AE629,0),"")</f>
        <v/>
      </c>
      <c r="Q17" s="492"/>
      <c r="R17" s="492" t="str">
        <f aca="true">IF(Build!AE629,OFFSET(Spells!AT$2,Build!AE629,0),"")</f>
        <v/>
      </c>
      <c r="S17" s="492"/>
      <c r="T17" s="492" t="str">
        <f aca="true">IF(Build!AE629,OFFSET(Spells!AU$2,Build!AE629,0),"")</f>
        <v/>
      </c>
      <c r="U17" s="492"/>
      <c r="V17" s="492"/>
      <c r="W17" s="492" t="str">
        <f aca="true">IF(Build!AE629,OFFSET(Spells!AW$2,Build!AE629,0),"")</f>
        <v/>
      </c>
      <c r="X17" s="492"/>
      <c r="Y17" s="492"/>
      <c r="Z17" s="507" t="str">
        <f aca="false">Build!AK629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IF(Build!AE629,OFFSET(Spells!AX$2,Build!AE629,0),"")</f>
        <v/>
      </c>
      <c r="AL17" s="484"/>
      <c r="AM17" s="484"/>
    </row>
    <row r="18" customFormat="false" ht="11.1" hidden="false" customHeight="true" outlineLevel="0" collapsed="false">
      <c r="A18" s="389"/>
      <c r="B18" s="389"/>
      <c r="C18" s="491" t="str">
        <f aca="true">IF(Build!AE630,OFFSET(Spells!AP$2,Build!AE630,0),"")</f>
        <v/>
      </c>
      <c r="D18" s="491"/>
      <c r="E18" s="491"/>
      <c r="F18" s="491"/>
      <c r="G18" s="491"/>
      <c r="H18" s="491"/>
      <c r="I18" s="491"/>
      <c r="J18" s="491"/>
      <c r="K18" s="491"/>
      <c r="L18" s="492" t="str">
        <f aca="true">IF(Build!AE630,OFFSET(Spells!AQ$2,Build!AE630,0),"")</f>
        <v/>
      </c>
      <c r="M18" s="492"/>
      <c r="N18" s="492" t="str">
        <f aca="true">IF(Build!AE630,OFFSET(Spells!AR$2,Build!AE630,0),"")</f>
        <v/>
      </c>
      <c r="O18" s="492"/>
      <c r="P18" s="492" t="str">
        <f aca="true">IF(Build!AE630,OFFSET(Spells!AS$2,Build!AE630,0),"")</f>
        <v/>
      </c>
      <c r="Q18" s="492"/>
      <c r="R18" s="492" t="str">
        <f aca="true">IF(Build!AE630,OFFSET(Spells!AT$2,Build!AE630,0),"")</f>
        <v/>
      </c>
      <c r="S18" s="492"/>
      <c r="T18" s="492" t="str">
        <f aca="true">IF(Build!AE630,OFFSET(Spells!AU$2,Build!AE630,0),"")</f>
        <v/>
      </c>
      <c r="U18" s="492"/>
      <c r="V18" s="492"/>
      <c r="W18" s="492" t="str">
        <f aca="true">IF(Build!AE630,OFFSET(Spells!AW$2,Build!AE630,0),"")</f>
        <v/>
      </c>
      <c r="X18" s="492"/>
      <c r="Y18" s="492"/>
      <c r="Z18" s="507" t="str">
        <f aca="false">Build!AK630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IF(Build!AE630,OFFSET(Spells!AX$2,Build!AE630,0),"")</f>
        <v/>
      </c>
      <c r="AL18" s="484"/>
      <c r="AM18" s="484"/>
    </row>
    <row r="19" customFormat="false" ht="11.1" hidden="false" customHeight="true" outlineLevel="0" collapsed="false">
      <c r="A19" s="389"/>
      <c r="B19" s="389"/>
      <c r="C19" s="491" t="str">
        <f aca="true">IF(Build!AE631,OFFSET(Spells!AP$2,Build!AE631,0),"")</f>
        <v/>
      </c>
      <c r="D19" s="491"/>
      <c r="E19" s="491"/>
      <c r="F19" s="491"/>
      <c r="G19" s="491"/>
      <c r="H19" s="491"/>
      <c r="I19" s="491"/>
      <c r="J19" s="491"/>
      <c r="K19" s="491"/>
      <c r="L19" s="492" t="str">
        <f aca="true">IF(Build!AE631,OFFSET(Spells!AQ$2,Build!AE631,0),"")</f>
        <v/>
      </c>
      <c r="M19" s="492"/>
      <c r="N19" s="492" t="str">
        <f aca="true">IF(Build!AE631,OFFSET(Spells!AR$2,Build!AE631,0),"")</f>
        <v/>
      </c>
      <c r="O19" s="492"/>
      <c r="P19" s="492" t="str">
        <f aca="true">IF(Build!AE631,OFFSET(Spells!AS$2,Build!AE631,0),"")</f>
        <v/>
      </c>
      <c r="Q19" s="492"/>
      <c r="R19" s="492" t="str">
        <f aca="true">IF(Build!AE631,OFFSET(Spells!AT$2,Build!AE631,0),"")</f>
        <v/>
      </c>
      <c r="S19" s="492"/>
      <c r="T19" s="492" t="str">
        <f aca="true">IF(Build!AE631,OFFSET(Spells!AU$2,Build!AE631,0),"")</f>
        <v/>
      </c>
      <c r="U19" s="492"/>
      <c r="V19" s="492"/>
      <c r="W19" s="492" t="str">
        <f aca="true">IF(Build!AE631,OFFSET(Spells!AW$2,Build!AE631,0),"")</f>
        <v/>
      </c>
      <c r="X19" s="492"/>
      <c r="Y19" s="492"/>
      <c r="Z19" s="507" t="str">
        <f aca="false">Build!AK631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IF(Build!AE631,OFFSET(Spells!AX$2,Build!AE631,0),"")</f>
        <v/>
      </c>
      <c r="AL19" s="484"/>
      <c r="AM19" s="484"/>
    </row>
    <row r="20" customFormat="false" ht="11.1" hidden="false" customHeight="true" outlineLevel="0" collapsed="false">
      <c r="A20" s="389"/>
      <c r="B20" s="389"/>
      <c r="C20" s="491" t="str">
        <f aca="true">IF(Build!AE632,OFFSET(Spells!AP$2,Build!AE632,0),"")</f>
        <v/>
      </c>
      <c r="D20" s="491"/>
      <c r="E20" s="491"/>
      <c r="F20" s="491"/>
      <c r="G20" s="491"/>
      <c r="H20" s="491"/>
      <c r="I20" s="491"/>
      <c r="J20" s="491"/>
      <c r="K20" s="491"/>
      <c r="L20" s="492" t="str">
        <f aca="true">IF(Build!AE632,OFFSET(Spells!AQ$2,Build!AE632,0),"")</f>
        <v/>
      </c>
      <c r="M20" s="492"/>
      <c r="N20" s="492" t="str">
        <f aca="true">IF(Build!AE632,OFFSET(Spells!AR$2,Build!AE632,0),"")</f>
        <v/>
      </c>
      <c r="O20" s="492"/>
      <c r="P20" s="492" t="str">
        <f aca="true">IF(Build!AE632,OFFSET(Spells!AS$2,Build!AE632,0),"")</f>
        <v/>
      </c>
      <c r="Q20" s="492"/>
      <c r="R20" s="492" t="str">
        <f aca="true">IF(Build!AE632,OFFSET(Spells!AT$2,Build!AE632,0),"")</f>
        <v/>
      </c>
      <c r="S20" s="492"/>
      <c r="T20" s="492" t="str">
        <f aca="true">IF(Build!AE632,OFFSET(Spells!AU$2,Build!AE632,0),"")</f>
        <v/>
      </c>
      <c r="U20" s="492"/>
      <c r="V20" s="492"/>
      <c r="W20" s="492" t="str">
        <f aca="true">IF(Build!AE632,OFFSET(Spells!AW$2,Build!AE632,0),"")</f>
        <v/>
      </c>
      <c r="X20" s="492"/>
      <c r="Y20" s="492"/>
      <c r="Z20" s="507" t="str">
        <f aca="false">Build!AK632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IF(Build!AE632,OFFSET(Spells!AX$2,Build!AE632,0),"")</f>
        <v/>
      </c>
      <c r="AL20" s="484"/>
      <c r="AM20" s="484"/>
    </row>
    <row r="21" customFormat="false" ht="11.1" hidden="false" customHeight="true" outlineLevel="0" collapsed="false">
      <c r="A21" s="389"/>
      <c r="B21" s="389"/>
      <c r="C21" s="491" t="str">
        <f aca="true">IF(Build!AE633,OFFSET(Spells!AP$2,Build!AE633,0),"")</f>
        <v/>
      </c>
      <c r="D21" s="491"/>
      <c r="E21" s="491"/>
      <c r="F21" s="491"/>
      <c r="G21" s="491"/>
      <c r="H21" s="491"/>
      <c r="I21" s="491"/>
      <c r="J21" s="491"/>
      <c r="K21" s="491"/>
      <c r="L21" s="492" t="str">
        <f aca="true">IF(Build!AE633,OFFSET(Spells!AQ$2,Build!AE633,0),"")</f>
        <v/>
      </c>
      <c r="M21" s="492"/>
      <c r="N21" s="492" t="str">
        <f aca="true">IF(Build!AE633,OFFSET(Spells!AR$2,Build!AE633,0),"")</f>
        <v/>
      </c>
      <c r="O21" s="492"/>
      <c r="P21" s="492" t="str">
        <f aca="true">IF(Build!AE633,OFFSET(Spells!AS$2,Build!AE633,0),"")</f>
        <v/>
      </c>
      <c r="Q21" s="492"/>
      <c r="R21" s="492" t="str">
        <f aca="true">IF(Build!AE633,OFFSET(Spells!AT$2,Build!AE633,0),"")</f>
        <v/>
      </c>
      <c r="S21" s="492"/>
      <c r="T21" s="492" t="str">
        <f aca="true">IF(Build!AE633,OFFSET(Spells!AU$2,Build!AE633,0),"")</f>
        <v/>
      </c>
      <c r="U21" s="492"/>
      <c r="V21" s="492"/>
      <c r="W21" s="492" t="str">
        <f aca="true">IF(Build!AE633,OFFSET(Spells!AW$2,Build!AE633,0),"")</f>
        <v/>
      </c>
      <c r="X21" s="492"/>
      <c r="Y21" s="492"/>
      <c r="Z21" s="507" t="str">
        <f aca="false">Build!AK633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IF(Build!AE633,OFFSET(Spells!AX$2,Build!AE633,0),"")</f>
        <v/>
      </c>
      <c r="AL21" s="484"/>
      <c r="AM21" s="484"/>
    </row>
    <row r="22" customFormat="false" ht="11.1" hidden="false" customHeight="true" outlineLevel="0" collapsed="false">
      <c r="A22" s="389"/>
      <c r="B22" s="389"/>
      <c r="C22" s="491" t="str">
        <f aca="true">IF(Build!AE634,OFFSET(Spells!AP$2,Build!AE634,0),"")</f>
        <v/>
      </c>
      <c r="D22" s="491"/>
      <c r="E22" s="491"/>
      <c r="F22" s="491"/>
      <c r="G22" s="491"/>
      <c r="H22" s="491"/>
      <c r="I22" s="491"/>
      <c r="J22" s="491"/>
      <c r="K22" s="491"/>
      <c r="L22" s="492" t="str">
        <f aca="true">IF(Build!AE634,OFFSET(Spells!AQ$2,Build!AE634,0),"")</f>
        <v/>
      </c>
      <c r="M22" s="492"/>
      <c r="N22" s="492" t="str">
        <f aca="true">IF(Build!AE634,OFFSET(Spells!AR$2,Build!AE634,0),"")</f>
        <v/>
      </c>
      <c r="O22" s="492"/>
      <c r="P22" s="492" t="str">
        <f aca="true">IF(Build!AE634,OFFSET(Spells!AS$2,Build!AE634,0),"")</f>
        <v/>
      </c>
      <c r="Q22" s="492"/>
      <c r="R22" s="492" t="str">
        <f aca="true">IF(Build!AE634,OFFSET(Spells!AT$2,Build!AE634,0),"")</f>
        <v/>
      </c>
      <c r="S22" s="492"/>
      <c r="T22" s="492" t="str">
        <f aca="true">IF(Build!AE634,OFFSET(Spells!AU$2,Build!AE634,0),"")</f>
        <v/>
      </c>
      <c r="U22" s="492"/>
      <c r="V22" s="492"/>
      <c r="W22" s="492" t="str">
        <f aca="true">IF(Build!AE634,OFFSET(Spells!AW$2,Build!AE634,0),"")</f>
        <v/>
      </c>
      <c r="X22" s="492"/>
      <c r="Y22" s="492"/>
      <c r="Z22" s="507" t="str">
        <f aca="false">Build!AK634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IF(Build!AE634,OFFSET(Spells!AX$2,Build!AE634,0),"")</f>
        <v/>
      </c>
      <c r="AL22" s="484"/>
      <c r="AM22" s="484"/>
    </row>
    <row r="23" customFormat="false" ht="11.1" hidden="false" customHeight="true" outlineLevel="0" collapsed="false">
      <c r="A23" s="389"/>
      <c r="B23" s="389"/>
      <c r="C23" s="491" t="str">
        <f aca="true">IF(Build!AE635,OFFSET(Spells!AP$2,Build!AE635,0),"")</f>
        <v/>
      </c>
      <c r="D23" s="491"/>
      <c r="E23" s="491"/>
      <c r="F23" s="491"/>
      <c r="G23" s="491"/>
      <c r="H23" s="491"/>
      <c r="I23" s="491"/>
      <c r="J23" s="491"/>
      <c r="K23" s="491"/>
      <c r="L23" s="492" t="str">
        <f aca="true">IF(Build!AE635,OFFSET(Spells!AQ$2,Build!AE635,0),"")</f>
        <v/>
      </c>
      <c r="M23" s="492"/>
      <c r="N23" s="492" t="str">
        <f aca="true">IF(Build!AE635,OFFSET(Spells!AR$2,Build!AE635,0),"")</f>
        <v/>
      </c>
      <c r="O23" s="492"/>
      <c r="P23" s="492" t="str">
        <f aca="true">IF(Build!AE635,OFFSET(Spells!AS$2,Build!AE635,0),"")</f>
        <v/>
      </c>
      <c r="Q23" s="492"/>
      <c r="R23" s="492" t="str">
        <f aca="true">IF(Build!AE635,OFFSET(Spells!AT$2,Build!AE635,0),"")</f>
        <v/>
      </c>
      <c r="S23" s="492"/>
      <c r="T23" s="492" t="str">
        <f aca="true">IF(Build!AE635,OFFSET(Spells!AU$2,Build!AE635,0),"")</f>
        <v/>
      </c>
      <c r="U23" s="492"/>
      <c r="V23" s="492"/>
      <c r="W23" s="492" t="str">
        <f aca="true">IF(Build!AE635,OFFSET(Spells!AW$2,Build!AE635,0),"")</f>
        <v/>
      </c>
      <c r="X23" s="492"/>
      <c r="Y23" s="492"/>
      <c r="Z23" s="507" t="str">
        <f aca="false">Build!AK635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IF(Build!AE635,OFFSET(Spells!AX$2,Build!AE635,0),"")</f>
        <v/>
      </c>
      <c r="AL23" s="484"/>
      <c r="AM23" s="484"/>
    </row>
    <row r="24" customFormat="false" ht="11.1" hidden="false" customHeight="true" outlineLevel="0" collapsed="false">
      <c r="A24" s="389"/>
      <c r="B24" s="389"/>
      <c r="C24" s="491" t="str">
        <f aca="true">IF(Build!AE636,OFFSET(Spells!AP$2,Build!AE636,0),"")</f>
        <v/>
      </c>
      <c r="D24" s="491"/>
      <c r="E24" s="491"/>
      <c r="F24" s="491"/>
      <c r="G24" s="491"/>
      <c r="H24" s="491"/>
      <c r="I24" s="491"/>
      <c r="J24" s="491"/>
      <c r="K24" s="491"/>
      <c r="L24" s="492" t="str">
        <f aca="true">IF(Build!AE636,OFFSET(Spells!AQ$2,Build!AE636,0),"")</f>
        <v/>
      </c>
      <c r="M24" s="492"/>
      <c r="N24" s="492" t="str">
        <f aca="true">IF(Build!AE636,OFFSET(Spells!AR$2,Build!AE636,0),"")</f>
        <v/>
      </c>
      <c r="O24" s="492"/>
      <c r="P24" s="492" t="str">
        <f aca="true">IF(Build!AE636,OFFSET(Spells!AS$2,Build!AE636,0),"")</f>
        <v/>
      </c>
      <c r="Q24" s="492"/>
      <c r="R24" s="492" t="str">
        <f aca="true">IF(Build!AE636,OFFSET(Spells!AT$2,Build!AE636,0),"")</f>
        <v/>
      </c>
      <c r="S24" s="492"/>
      <c r="T24" s="492" t="str">
        <f aca="true">IF(Build!AE636,OFFSET(Spells!AU$2,Build!AE636,0),"")</f>
        <v/>
      </c>
      <c r="U24" s="492"/>
      <c r="V24" s="492"/>
      <c r="W24" s="492" t="str">
        <f aca="true">IF(Build!AE636,OFFSET(Spells!AW$2,Build!AE636,0),"")</f>
        <v/>
      </c>
      <c r="X24" s="492"/>
      <c r="Y24" s="492"/>
      <c r="Z24" s="507" t="str">
        <f aca="false">Build!AK636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IF(Build!AE636,OFFSET(Spells!AX$2,Build!AE636,0),"")</f>
        <v/>
      </c>
      <c r="AL24" s="484"/>
      <c r="AM24" s="484"/>
    </row>
    <row r="25" customFormat="false" ht="11.1" hidden="false" customHeight="true" outlineLevel="0" collapsed="false">
      <c r="A25" s="389"/>
      <c r="B25" s="389"/>
      <c r="C25" s="491" t="str">
        <f aca="true">IF(Build!AE637,OFFSET(Spells!AP$2,Build!AE637,0),"")</f>
        <v/>
      </c>
      <c r="D25" s="491"/>
      <c r="E25" s="491"/>
      <c r="F25" s="491"/>
      <c r="G25" s="491"/>
      <c r="H25" s="491"/>
      <c r="I25" s="491"/>
      <c r="J25" s="491"/>
      <c r="K25" s="491"/>
      <c r="L25" s="492" t="str">
        <f aca="true">IF(Build!AE637,OFFSET(Spells!AQ$2,Build!AE637,0),"")</f>
        <v/>
      </c>
      <c r="M25" s="492"/>
      <c r="N25" s="492" t="str">
        <f aca="true">IF(Build!AE637,OFFSET(Spells!AR$2,Build!AE637,0),"")</f>
        <v/>
      </c>
      <c r="O25" s="492"/>
      <c r="P25" s="492" t="str">
        <f aca="true">IF(Build!AE637,OFFSET(Spells!AS$2,Build!AE637,0),"")</f>
        <v/>
      </c>
      <c r="Q25" s="492"/>
      <c r="R25" s="492" t="str">
        <f aca="true">IF(Build!AE637,OFFSET(Spells!AT$2,Build!AE637,0),"")</f>
        <v/>
      </c>
      <c r="S25" s="492"/>
      <c r="T25" s="492" t="str">
        <f aca="true">IF(Build!AE637,OFFSET(Spells!AU$2,Build!AE637,0),"")</f>
        <v/>
      </c>
      <c r="U25" s="492"/>
      <c r="V25" s="492"/>
      <c r="W25" s="492" t="str">
        <f aca="true">IF(Build!AE637,OFFSET(Spells!AW$2,Build!AE637,0),"")</f>
        <v/>
      </c>
      <c r="X25" s="492"/>
      <c r="Y25" s="492"/>
      <c r="Z25" s="507" t="str">
        <f aca="false">Build!AK637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IF(Build!AE637,OFFSET(Spells!AX$2,Build!AE637,0),"")</f>
        <v/>
      </c>
      <c r="AL25" s="484"/>
      <c r="AM25" s="484"/>
    </row>
    <row r="26" customFormat="false" ht="11.1" hidden="false" customHeight="true" outlineLevel="0" collapsed="false">
      <c r="A26" s="389"/>
      <c r="B26" s="389"/>
      <c r="C26" s="491" t="str">
        <f aca="true">IF(Build!AE638,OFFSET(Spells!AP$2,Build!AE638,0),"")</f>
        <v/>
      </c>
      <c r="D26" s="491"/>
      <c r="E26" s="491"/>
      <c r="F26" s="491"/>
      <c r="G26" s="491"/>
      <c r="H26" s="491"/>
      <c r="I26" s="491"/>
      <c r="J26" s="491"/>
      <c r="K26" s="491"/>
      <c r="L26" s="492" t="str">
        <f aca="true">IF(Build!AE638,OFFSET(Spells!AQ$2,Build!AE638,0),"")</f>
        <v/>
      </c>
      <c r="M26" s="492"/>
      <c r="N26" s="492" t="str">
        <f aca="true">IF(Build!AE638,OFFSET(Spells!AR$2,Build!AE638,0),"")</f>
        <v/>
      </c>
      <c r="O26" s="492"/>
      <c r="P26" s="492" t="str">
        <f aca="true">IF(Build!AE638,OFFSET(Spells!AS$2,Build!AE638,0),"")</f>
        <v/>
      </c>
      <c r="Q26" s="492"/>
      <c r="R26" s="492" t="str">
        <f aca="true">IF(Build!AE638,OFFSET(Spells!AT$2,Build!AE638,0),"")</f>
        <v/>
      </c>
      <c r="S26" s="492"/>
      <c r="T26" s="492" t="str">
        <f aca="true">IF(Build!AE638,OFFSET(Spells!AU$2,Build!AE638,0),"")</f>
        <v/>
      </c>
      <c r="U26" s="492"/>
      <c r="V26" s="492"/>
      <c r="W26" s="492" t="str">
        <f aca="true">IF(Build!AE638,OFFSET(Spells!AW$2,Build!AE638,0),"")</f>
        <v/>
      </c>
      <c r="X26" s="492"/>
      <c r="Y26" s="492"/>
      <c r="Z26" s="507" t="str">
        <f aca="false">Build!AK638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IF(Build!AE638,OFFSET(Spells!AX$2,Build!AE638,0),"")</f>
        <v/>
      </c>
      <c r="AL26" s="484"/>
      <c r="AM26" s="484"/>
    </row>
    <row r="27" customFormat="false" ht="11.1" hidden="false" customHeight="true" outlineLevel="0" collapsed="false">
      <c r="A27" s="389"/>
      <c r="B27" s="389"/>
      <c r="C27" s="491" t="str">
        <f aca="true">IF(Build!AE639,OFFSET(Spells!AP$2,Build!AE639,0),"")</f>
        <v/>
      </c>
      <c r="D27" s="491"/>
      <c r="E27" s="491"/>
      <c r="F27" s="491"/>
      <c r="G27" s="491"/>
      <c r="H27" s="491"/>
      <c r="I27" s="491"/>
      <c r="J27" s="491"/>
      <c r="K27" s="491"/>
      <c r="L27" s="492" t="str">
        <f aca="true">IF(Build!AE639,OFFSET(Spells!AQ$2,Build!AE639,0),"")</f>
        <v/>
      </c>
      <c r="M27" s="492"/>
      <c r="N27" s="492" t="str">
        <f aca="true">IF(Build!AE639,OFFSET(Spells!AR$2,Build!AE639,0),"")</f>
        <v/>
      </c>
      <c r="O27" s="492"/>
      <c r="P27" s="492" t="str">
        <f aca="true">IF(Build!AE639,OFFSET(Spells!AS$2,Build!AE639,0),"")</f>
        <v/>
      </c>
      <c r="Q27" s="492"/>
      <c r="R27" s="492" t="str">
        <f aca="true">IF(Build!AE639,OFFSET(Spells!AT$2,Build!AE639,0),"")</f>
        <v/>
      </c>
      <c r="S27" s="492"/>
      <c r="T27" s="492" t="str">
        <f aca="true">IF(Build!AE639,OFFSET(Spells!AU$2,Build!AE639,0),"")</f>
        <v/>
      </c>
      <c r="U27" s="492"/>
      <c r="V27" s="492"/>
      <c r="W27" s="492" t="str">
        <f aca="true">IF(Build!AE639,OFFSET(Spells!AW$2,Build!AE639,0),"")</f>
        <v/>
      </c>
      <c r="X27" s="492"/>
      <c r="Y27" s="492"/>
      <c r="Z27" s="507" t="str">
        <f aca="false">Build!AK639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IF(Build!AE639,OFFSET(Spells!AX$2,Build!AE639,0),"")</f>
        <v/>
      </c>
      <c r="AL27" s="484"/>
      <c r="AM27" s="484"/>
    </row>
    <row r="28" customFormat="false" ht="11.1" hidden="false" customHeight="true" outlineLevel="0" collapsed="false">
      <c r="A28" s="389"/>
      <c r="B28" s="389"/>
      <c r="C28" s="491" t="str">
        <f aca="true">IF(Build!AE640,OFFSET(Spells!AP$2,Build!AE640,0),"")</f>
        <v/>
      </c>
      <c r="D28" s="491"/>
      <c r="E28" s="491"/>
      <c r="F28" s="491"/>
      <c r="G28" s="491"/>
      <c r="H28" s="491"/>
      <c r="I28" s="491"/>
      <c r="J28" s="491"/>
      <c r="K28" s="491"/>
      <c r="L28" s="492" t="str">
        <f aca="true">IF(Build!AE640,OFFSET(Spells!AQ$2,Build!AE640,0),"")</f>
        <v/>
      </c>
      <c r="M28" s="492"/>
      <c r="N28" s="492" t="str">
        <f aca="true">IF(Build!AE640,OFFSET(Spells!AR$2,Build!AE640,0),"")</f>
        <v/>
      </c>
      <c r="O28" s="492"/>
      <c r="P28" s="492" t="str">
        <f aca="true">IF(Build!AE640,OFFSET(Spells!AS$2,Build!AE640,0),"")</f>
        <v/>
      </c>
      <c r="Q28" s="492"/>
      <c r="R28" s="492" t="str">
        <f aca="true">IF(Build!AE640,OFFSET(Spells!AT$2,Build!AE640,0),"")</f>
        <v/>
      </c>
      <c r="S28" s="492"/>
      <c r="T28" s="492" t="str">
        <f aca="true">IF(Build!AE640,OFFSET(Spells!AU$2,Build!AE640,0),"")</f>
        <v/>
      </c>
      <c r="U28" s="492"/>
      <c r="V28" s="492"/>
      <c r="W28" s="492" t="str">
        <f aca="true">IF(Build!AE640,OFFSET(Spells!AW$2,Build!AE640,0),"")</f>
        <v/>
      </c>
      <c r="X28" s="492"/>
      <c r="Y28" s="492"/>
      <c r="Z28" s="507" t="str">
        <f aca="false">Build!AK640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IF(Build!AE640,OFFSET(Spells!AX$2,Build!AE640,0),"")</f>
        <v/>
      </c>
      <c r="AL28" s="484"/>
      <c r="AM28" s="484"/>
    </row>
    <row r="29" customFormat="false" ht="11.1" hidden="false" customHeight="true" outlineLevel="0" collapsed="false">
      <c r="A29" s="389"/>
      <c r="B29" s="389"/>
      <c r="C29" s="491" t="str">
        <f aca="true">IF(Build!AE641,OFFSET(Spells!AP$2,Build!AE641,0),"")</f>
        <v/>
      </c>
      <c r="D29" s="491"/>
      <c r="E29" s="491"/>
      <c r="F29" s="491"/>
      <c r="G29" s="491"/>
      <c r="H29" s="491"/>
      <c r="I29" s="491"/>
      <c r="J29" s="491"/>
      <c r="K29" s="491"/>
      <c r="L29" s="492" t="str">
        <f aca="true">IF(Build!AE641,OFFSET(Spells!AQ$2,Build!AE641,0),"")</f>
        <v/>
      </c>
      <c r="M29" s="492"/>
      <c r="N29" s="492" t="str">
        <f aca="true">IF(Build!AE641,OFFSET(Spells!AR$2,Build!AE641,0),"")</f>
        <v/>
      </c>
      <c r="O29" s="492"/>
      <c r="P29" s="492" t="str">
        <f aca="true">IF(Build!AE641,OFFSET(Spells!AS$2,Build!AE641,0),"")</f>
        <v/>
      </c>
      <c r="Q29" s="492"/>
      <c r="R29" s="492" t="str">
        <f aca="true">IF(Build!AE641,OFFSET(Spells!AT$2,Build!AE641,0),"")</f>
        <v/>
      </c>
      <c r="S29" s="492"/>
      <c r="T29" s="492" t="str">
        <f aca="true">IF(Build!AE641,OFFSET(Spells!AU$2,Build!AE641,0),"")</f>
        <v/>
      </c>
      <c r="U29" s="492"/>
      <c r="V29" s="492"/>
      <c r="W29" s="492" t="str">
        <f aca="true">IF(Build!AE641,OFFSET(Spells!AW$2,Build!AE641,0),"")</f>
        <v/>
      </c>
      <c r="X29" s="492"/>
      <c r="Y29" s="492"/>
      <c r="Z29" s="507" t="str">
        <f aca="false">Build!AK641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IF(Build!AE641,OFFSET(Spells!AX$2,Build!AE641,0),"")</f>
        <v/>
      </c>
      <c r="AL29" s="484"/>
      <c r="AM29" s="484"/>
    </row>
    <row r="30" customFormat="false" ht="11.1" hidden="false" customHeight="true" outlineLevel="0" collapsed="false">
      <c r="A30" s="389"/>
      <c r="B30" s="389"/>
      <c r="C30" s="491" t="str">
        <f aca="true">IF(Build!AE642,OFFSET(Spells!AP$2,Build!AE642,0),"")</f>
        <v/>
      </c>
      <c r="D30" s="491"/>
      <c r="E30" s="491"/>
      <c r="F30" s="491"/>
      <c r="G30" s="491"/>
      <c r="H30" s="491"/>
      <c r="I30" s="491"/>
      <c r="J30" s="491"/>
      <c r="K30" s="491"/>
      <c r="L30" s="492" t="str">
        <f aca="true">IF(Build!AE642,OFFSET(Spells!AQ$2,Build!AE642,0),"")</f>
        <v/>
      </c>
      <c r="M30" s="492"/>
      <c r="N30" s="492" t="str">
        <f aca="true">IF(Build!AE642,OFFSET(Spells!AR$2,Build!AE642,0),"")</f>
        <v/>
      </c>
      <c r="O30" s="492"/>
      <c r="P30" s="492" t="str">
        <f aca="true">IF(Build!AE642,OFFSET(Spells!AS$2,Build!AE642,0),"")</f>
        <v/>
      </c>
      <c r="Q30" s="492"/>
      <c r="R30" s="492" t="str">
        <f aca="true">IF(Build!AE642,OFFSET(Spells!AT$2,Build!AE642,0),"")</f>
        <v/>
      </c>
      <c r="S30" s="492"/>
      <c r="T30" s="492" t="str">
        <f aca="true">IF(Build!AE642,OFFSET(Spells!AU$2,Build!AE642,0),"")</f>
        <v/>
      </c>
      <c r="U30" s="492"/>
      <c r="V30" s="492"/>
      <c r="W30" s="492" t="str">
        <f aca="true">IF(Build!AE642,OFFSET(Spells!AW$2,Build!AE642,0),"")</f>
        <v/>
      </c>
      <c r="X30" s="492"/>
      <c r="Y30" s="492"/>
      <c r="Z30" s="507" t="str">
        <f aca="false">Build!AK642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IF(Build!AE642,OFFSET(Spells!AX$2,Build!AE642,0),"")</f>
        <v/>
      </c>
      <c r="AL30" s="484"/>
      <c r="AM30" s="484"/>
    </row>
    <row r="31" customFormat="false" ht="11.1" hidden="false" customHeight="true" outlineLevel="0" collapsed="false">
      <c r="A31" s="389"/>
      <c r="B31" s="389"/>
      <c r="C31" s="491" t="str">
        <f aca="true">IF(Build!AE643,OFFSET(Spells!AP$2,Build!AE643,0),"")</f>
        <v/>
      </c>
      <c r="D31" s="491"/>
      <c r="E31" s="491"/>
      <c r="F31" s="491"/>
      <c r="G31" s="491"/>
      <c r="H31" s="491"/>
      <c r="I31" s="491"/>
      <c r="J31" s="491"/>
      <c r="K31" s="491"/>
      <c r="L31" s="492" t="str">
        <f aca="true">IF(Build!AE643,OFFSET(Spells!AQ$2,Build!AE643,0),"")</f>
        <v/>
      </c>
      <c r="M31" s="492"/>
      <c r="N31" s="492" t="str">
        <f aca="true">IF(Build!AE643,OFFSET(Spells!AR$2,Build!AE643,0),"")</f>
        <v/>
      </c>
      <c r="O31" s="492"/>
      <c r="P31" s="492" t="str">
        <f aca="true">IF(Build!AE643,OFFSET(Spells!AS$2,Build!AE643,0),"")</f>
        <v/>
      </c>
      <c r="Q31" s="492"/>
      <c r="R31" s="492" t="str">
        <f aca="true">IF(Build!AE643,OFFSET(Spells!AT$2,Build!AE643,0),"")</f>
        <v/>
      </c>
      <c r="S31" s="492"/>
      <c r="T31" s="492" t="str">
        <f aca="true">IF(Build!AE643,OFFSET(Spells!AU$2,Build!AE643,0),"")</f>
        <v/>
      </c>
      <c r="U31" s="492"/>
      <c r="V31" s="492"/>
      <c r="W31" s="492" t="str">
        <f aca="true">IF(Build!AE643,OFFSET(Spells!AW$2,Build!AE643,0),"")</f>
        <v/>
      </c>
      <c r="X31" s="492"/>
      <c r="Y31" s="492"/>
      <c r="Z31" s="507" t="str">
        <f aca="false">Build!AK643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IF(Build!AE643,OFFSET(Spells!AX$2,Build!AE643,0),"")</f>
        <v/>
      </c>
      <c r="AL31" s="484"/>
      <c r="AM31" s="484"/>
    </row>
    <row r="32" customFormat="false" ht="11.1" hidden="false" customHeight="true" outlineLevel="0" collapsed="false">
      <c r="A32" s="389"/>
      <c r="B32" s="389"/>
      <c r="C32" s="491" t="str">
        <f aca="true">IF(Build!AE644,OFFSET(Spells!AP$2,Build!AE644,0),"")</f>
        <v/>
      </c>
      <c r="D32" s="491"/>
      <c r="E32" s="491"/>
      <c r="F32" s="491"/>
      <c r="G32" s="491"/>
      <c r="H32" s="491"/>
      <c r="I32" s="491"/>
      <c r="J32" s="491"/>
      <c r="K32" s="491"/>
      <c r="L32" s="492" t="str">
        <f aca="true">IF(Build!AE644,OFFSET(Spells!AQ$2,Build!AE644,0),"")</f>
        <v/>
      </c>
      <c r="M32" s="492"/>
      <c r="N32" s="492" t="str">
        <f aca="true">IF(Build!AE644,OFFSET(Spells!AR$2,Build!AE644,0),"")</f>
        <v/>
      </c>
      <c r="O32" s="492"/>
      <c r="P32" s="492" t="str">
        <f aca="true">IF(Build!AE644,OFFSET(Spells!AS$2,Build!AE644,0),"")</f>
        <v/>
      </c>
      <c r="Q32" s="492"/>
      <c r="R32" s="492" t="str">
        <f aca="true">IF(Build!AE644,OFFSET(Spells!AT$2,Build!AE644,0),"")</f>
        <v/>
      </c>
      <c r="S32" s="492"/>
      <c r="T32" s="492" t="str">
        <f aca="true">IF(Build!AE644,OFFSET(Spells!AU$2,Build!AE644,0),"")</f>
        <v/>
      </c>
      <c r="U32" s="492"/>
      <c r="V32" s="492"/>
      <c r="W32" s="492" t="str">
        <f aca="true">IF(Build!AE644,OFFSET(Spells!AW$2,Build!AE644,0),"")</f>
        <v/>
      </c>
      <c r="X32" s="492"/>
      <c r="Y32" s="492"/>
      <c r="Z32" s="507" t="str">
        <f aca="false">Build!AK644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IF(Build!AE644,OFFSET(Spells!AX$2,Build!AE644,0),"")</f>
        <v/>
      </c>
      <c r="AL32" s="484"/>
      <c r="AM32" s="484"/>
    </row>
    <row r="33" customFormat="false" ht="11.1" hidden="false" customHeight="true" outlineLevel="0" collapsed="false">
      <c r="A33" s="389"/>
      <c r="B33" s="389"/>
      <c r="C33" s="491" t="str">
        <f aca="true">IF(Build!AE645,OFFSET(Spells!AP$2,Build!AE645,0),"")</f>
        <v/>
      </c>
      <c r="D33" s="491"/>
      <c r="E33" s="491"/>
      <c r="F33" s="491"/>
      <c r="G33" s="491"/>
      <c r="H33" s="491"/>
      <c r="I33" s="491"/>
      <c r="J33" s="491"/>
      <c r="K33" s="491"/>
      <c r="L33" s="492" t="str">
        <f aca="true">IF(Build!AE645,OFFSET(Spells!AQ$2,Build!AE645,0),"")</f>
        <v/>
      </c>
      <c r="M33" s="492"/>
      <c r="N33" s="492" t="str">
        <f aca="true">IF(Build!AE645,OFFSET(Spells!AR$2,Build!AE645,0),"")</f>
        <v/>
      </c>
      <c r="O33" s="492"/>
      <c r="P33" s="492" t="str">
        <f aca="true">IF(Build!AE645,OFFSET(Spells!AS$2,Build!AE645,0),"")</f>
        <v/>
      </c>
      <c r="Q33" s="492"/>
      <c r="R33" s="492" t="str">
        <f aca="true">IF(Build!AE645,OFFSET(Spells!AT$2,Build!AE645,0),"")</f>
        <v/>
      </c>
      <c r="S33" s="492"/>
      <c r="T33" s="492" t="str">
        <f aca="true">IF(Build!AE645,OFFSET(Spells!AU$2,Build!AE645,0),"")</f>
        <v/>
      </c>
      <c r="U33" s="492"/>
      <c r="V33" s="492"/>
      <c r="W33" s="492" t="str">
        <f aca="true">IF(Build!AE645,OFFSET(Spells!AW$2,Build!AE645,0),"")</f>
        <v/>
      </c>
      <c r="X33" s="492"/>
      <c r="Y33" s="492"/>
      <c r="Z33" s="507" t="str">
        <f aca="false">Build!AK645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IF(Build!AE645,OFFSET(Spells!AX$2,Build!AE645,0),"")</f>
        <v/>
      </c>
      <c r="AL33" s="484"/>
      <c r="AM33" s="484"/>
    </row>
    <row r="34" customFormat="false" ht="11.1" hidden="false" customHeight="true" outlineLevel="0" collapsed="false">
      <c r="A34" s="389"/>
      <c r="B34" s="389"/>
      <c r="C34" s="491" t="str">
        <f aca="true">IF(Build!AE646,OFFSET(Spells!AP$2,Build!AE646,0),"")</f>
        <v/>
      </c>
      <c r="D34" s="491"/>
      <c r="E34" s="491"/>
      <c r="F34" s="491"/>
      <c r="G34" s="491"/>
      <c r="H34" s="491"/>
      <c r="I34" s="491"/>
      <c r="J34" s="491"/>
      <c r="K34" s="491"/>
      <c r="L34" s="492" t="str">
        <f aca="true">IF(Build!AE646,OFFSET(Spells!AQ$2,Build!AE646,0),"")</f>
        <v/>
      </c>
      <c r="M34" s="492"/>
      <c r="N34" s="492" t="str">
        <f aca="true">IF(Build!AE646,OFFSET(Spells!AR$2,Build!AE646,0),"")</f>
        <v/>
      </c>
      <c r="O34" s="492"/>
      <c r="P34" s="492" t="str">
        <f aca="true">IF(Build!AE646,OFFSET(Spells!AS$2,Build!AE646,0),"")</f>
        <v/>
      </c>
      <c r="Q34" s="492"/>
      <c r="R34" s="492" t="str">
        <f aca="true">IF(Build!AE646,OFFSET(Spells!AT$2,Build!AE646,0),"")</f>
        <v/>
      </c>
      <c r="S34" s="492"/>
      <c r="T34" s="492" t="str">
        <f aca="true">IF(Build!AE646,OFFSET(Spells!AU$2,Build!AE646,0),"")</f>
        <v/>
      </c>
      <c r="U34" s="492"/>
      <c r="V34" s="492"/>
      <c r="W34" s="492" t="str">
        <f aca="true">IF(Build!AE646,OFFSET(Spells!AW$2,Build!AE646,0),"")</f>
        <v/>
      </c>
      <c r="X34" s="492"/>
      <c r="Y34" s="492"/>
      <c r="Z34" s="507" t="str">
        <f aca="false">Build!AK646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IF(Build!AE646,OFFSET(Spells!AX$2,Build!AE646,0),"")</f>
        <v/>
      </c>
      <c r="AL34" s="484"/>
      <c r="AM34" s="484"/>
    </row>
    <row r="35" customFormat="false" ht="11.1" hidden="false" customHeight="true" outlineLevel="0" collapsed="false">
      <c r="A35" s="389"/>
      <c r="B35" s="389"/>
      <c r="C35" s="491" t="str">
        <f aca="true">IF(Build!AE647,OFFSET(Spells!AP$2,Build!AE647,0),"")</f>
        <v/>
      </c>
      <c r="D35" s="491"/>
      <c r="E35" s="491"/>
      <c r="F35" s="491"/>
      <c r="G35" s="491"/>
      <c r="H35" s="491"/>
      <c r="I35" s="491"/>
      <c r="J35" s="491"/>
      <c r="K35" s="491"/>
      <c r="L35" s="492" t="str">
        <f aca="true">IF(Build!AE647,OFFSET(Spells!AQ$2,Build!AE647,0),"")</f>
        <v/>
      </c>
      <c r="M35" s="492"/>
      <c r="N35" s="492" t="str">
        <f aca="true">IF(Build!AE647,OFFSET(Spells!AR$2,Build!AE647,0),"")</f>
        <v/>
      </c>
      <c r="O35" s="492"/>
      <c r="P35" s="492" t="str">
        <f aca="true">IF(Build!AE647,OFFSET(Spells!AS$2,Build!AE647,0),"")</f>
        <v/>
      </c>
      <c r="Q35" s="492"/>
      <c r="R35" s="492" t="str">
        <f aca="true">IF(Build!AE647,OFFSET(Spells!AT$2,Build!AE647,0),"")</f>
        <v/>
      </c>
      <c r="S35" s="492"/>
      <c r="T35" s="492" t="str">
        <f aca="true">IF(Build!AE647,OFFSET(Spells!AU$2,Build!AE647,0),"")</f>
        <v/>
      </c>
      <c r="U35" s="492"/>
      <c r="V35" s="492"/>
      <c r="W35" s="492" t="str">
        <f aca="true">IF(Build!AE647,OFFSET(Spells!AW$2,Build!AE647,0),"")</f>
        <v/>
      </c>
      <c r="X35" s="492"/>
      <c r="Y35" s="492"/>
      <c r="Z35" s="507" t="str">
        <f aca="false">Build!AK647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IF(Build!AE647,OFFSET(Spells!AX$2,Build!AE647,0),"")</f>
        <v/>
      </c>
      <c r="AL35" s="484"/>
      <c r="AM35" s="484"/>
    </row>
    <row r="36" customFormat="false" ht="11.1" hidden="false" customHeight="true" outlineLevel="0" collapsed="false">
      <c r="A36" s="389"/>
      <c r="B36" s="389"/>
      <c r="C36" s="491" t="str">
        <f aca="true">IF(Build!AE648,OFFSET(Spells!AP$2,Build!AE648,0),"")</f>
        <v/>
      </c>
      <c r="D36" s="491"/>
      <c r="E36" s="491"/>
      <c r="F36" s="491"/>
      <c r="G36" s="491"/>
      <c r="H36" s="491"/>
      <c r="I36" s="491"/>
      <c r="J36" s="491"/>
      <c r="K36" s="491"/>
      <c r="L36" s="492" t="str">
        <f aca="true">IF(Build!AE648,OFFSET(Spells!AQ$2,Build!AE648,0),"")</f>
        <v/>
      </c>
      <c r="M36" s="492"/>
      <c r="N36" s="492" t="str">
        <f aca="true">IF(Build!AE648,OFFSET(Spells!AR$2,Build!AE648,0),"")</f>
        <v/>
      </c>
      <c r="O36" s="492"/>
      <c r="P36" s="492" t="str">
        <f aca="true">IF(Build!AE648,OFFSET(Spells!AS$2,Build!AE648,0),"")</f>
        <v/>
      </c>
      <c r="Q36" s="492"/>
      <c r="R36" s="492" t="str">
        <f aca="true">IF(Build!AE648,OFFSET(Spells!AT$2,Build!AE648,0),"")</f>
        <v/>
      </c>
      <c r="S36" s="492"/>
      <c r="T36" s="492" t="str">
        <f aca="true">IF(Build!AE648,OFFSET(Spells!AU$2,Build!AE648,0),"")</f>
        <v/>
      </c>
      <c r="U36" s="492"/>
      <c r="V36" s="492"/>
      <c r="W36" s="492" t="str">
        <f aca="true">IF(Build!AE648,OFFSET(Spells!AW$2,Build!AE648,0),"")</f>
        <v/>
      </c>
      <c r="X36" s="492"/>
      <c r="Y36" s="492"/>
      <c r="Z36" s="507" t="str">
        <f aca="false">Build!AK648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IF(Build!AE648,OFFSET(Spells!AX$2,Build!AE648,0),"")</f>
        <v/>
      </c>
      <c r="AL36" s="484"/>
      <c r="AM36" s="484"/>
    </row>
    <row r="37" customFormat="false" ht="11.1" hidden="false" customHeight="true" outlineLevel="0" collapsed="false">
      <c r="A37" s="389"/>
      <c r="B37" s="389"/>
      <c r="C37" s="491" t="str">
        <f aca="true">IF(Build!AE649,OFFSET(Spells!AP$2,Build!AE649,0),"")</f>
        <v/>
      </c>
      <c r="D37" s="491"/>
      <c r="E37" s="491"/>
      <c r="F37" s="491"/>
      <c r="G37" s="491"/>
      <c r="H37" s="491"/>
      <c r="I37" s="491"/>
      <c r="J37" s="491"/>
      <c r="K37" s="491"/>
      <c r="L37" s="492" t="str">
        <f aca="true">IF(Build!AE649,OFFSET(Spells!AQ$2,Build!AE649,0),"")</f>
        <v/>
      </c>
      <c r="M37" s="492"/>
      <c r="N37" s="492" t="str">
        <f aca="true">IF(Build!AE649,OFFSET(Spells!AR$2,Build!AE649,0),"")</f>
        <v/>
      </c>
      <c r="O37" s="492"/>
      <c r="P37" s="492" t="str">
        <f aca="true">IF(Build!AE649,OFFSET(Spells!AS$2,Build!AE649,0),"")</f>
        <v/>
      </c>
      <c r="Q37" s="492"/>
      <c r="R37" s="492" t="str">
        <f aca="true">IF(Build!AE649,OFFSET(Spells!AT$2,Build!AE649,0),"")</f>
        <v/>
      </c>
      <c r="S37" s="492"/>
      <c r="T37" s="492" t="str">
        <f aca="true">IF(Build!AE649,OFFSET(Spells!AU$2,Build!AE649,0),"")</f>
        <v/>
      </c>
      <c r="U37" s="492"/>
      <c r="V37" s="492"/>
      <c r="W37" s="492" t="str">
        <f aca="true">IF(Build!AE649,OFFSET(Spells!AW$2,Build!AE649,0),"")</f>
        <v/>
      </c>
      <c r="X37" s="492"/>
      <c r="Y37" s="492"/>
      <c r="Z37" s="507" t="str">
        <f aca="false">Build!AK649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IF(Build!AE649,OFFSET(Spells!AX$2,Build!AE649,0),"")</f>
        <v/>
      </c>
      <c r="AL37" s="484"/>
      <c r="AM37" s="484"/>
    </row>
    <row r="38" customFormat="false" ht="11.1" hidden="false" customHeight="true" outlineLevel="0" collapsed="false">
      <c r="A38" s="389"/>
      <c r="B38" s="389"/>
      <c r="C38" s="491" t="str">
        <f aca="true">IF(Build!AE650,OFFSET(Spells!AP$2,Build!AE650,0),"")</f>
        <v/>
      </c>
      <c r="D38" s="491"/>
      <c r="E38" s="491"/>
      <c r="F38" s="491"/>
      <c r="G38" s="491"/>
      <c r="H38" s="491"/>
      <c r="I38" s="491"/>
      <c r="J38" s="491"/>
      <c r="K38" s="491"/>
      <c r="L38" s="492" t="str">
        <f aca="true">IF(Build!AE650,OFFSET(Spells!AQ$2,Build!AE650,0),"")</f>
        <v/>
      </c>
      <c r="M38" s="492"/>
      <c r="N38" s="492" t="str">
        <f aca="true">IF(Build!AE650,OFFSET(Spells!AR$2,Build!AE650,0),"")</f>
        <v/>
      </c>
      <c r="O38" s="492"/>
      <c r="P38" s="492" t="str">
        <f aca="true">IF(Build!AE650,OFFSET(Spells!AS$2,Build!AE650,0),"")</f>
        <v/>
      </c>
      <c r="Q38" s="492"/>
      <c r="R38" s="492" t="str">
        <f aca="true">IF(Build!AE650,OFFSET(Spells!AT$2,Build!AE650,0),"")</f>
        <v/>
      </c>
      <c r="S38" s="492"/>
      <c r="T38" s="492" t="str">
        <f aca="true">IF(Build!AE650,OFFSET(Spells!AU$2,Build!AE650,0),"")</f>
        <v/>
      </c>
      <c r="U38" s="492"/>
      <c r="V38" s="492"/>
      <c r="W38" s="492" t="str">
        <f aca="true">IF(Build!AE650,OFFSET(Spells!AW$2,Build!AE650,0),"")</f>
        <v/>
      </c>
      <c r="X38" s="492"/>
      <c r="Y38" s="492"/>
      <c r="Z38" s="507" t="str">
        <f aca="false">Build!AK650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IF(Build!AE650,OFFSET(Spells!AX$2,Build!AE650,0),"")</f>
        <v/>
      </c>
      <c r="AL38" s="484"/>
      <c r="AM38" s="484"/>
    </row>
    <row r="39" customFormat="false" ht="11.1" hidden="false" customHeight="true" outlineLevel="0" collapsed="false">
      <c r="A39" s="389"/>
      <c r="B39" s="389"/>
      <c r="C39" s="491" t="str">
        <f aca="true">IF(Build!AE651,OFFSET(Spells!AP$2,Build!AE651,0),"")</f>
        <v/>
      </c>
      <c r="D39" s="491"/>
      <c r="E39" s="491"/>
      <c r="F39" s="491"/>
      <c r="G39" s="491"/>
      <c r="H39" s="491"/>
      <c r="I39" s="491"/>
      <c r="J39" s="491"/>
      <c r="K39" s="491"/>
      <c r="L39" s="492" t="str">
        <f aca="true">IF(Build!AE651,OFFSET(Spells!AQ$2,Build!AE651,0),"")</f>
        <v/>
      </c>
      <c r="M39" s="492"/>
      <c r="N39" s="492" t="str">
        <f aca="true">IF(Build!AE651,OFFSET(Spells!AR$2,Build!AE651,0),"")</f>
        <v/>
      </c>
      <c r="O39" s="492"/>
      <c r="P39" s="492" t="str">
        <f aca="true">IF(Build!AE651,OFFSET(Spells!AS$2,Build!AE651,0),"")</f>
        <v/>
      </c>
      <c r="Q39" s="492"/>
      <c r="R39" s="492" t="str">
        <f aca="true">IF(Build!AE651,OFFSET(Spells!AT$2,Build!AE651,0),"")</f>
        <v/>
      </c>
      <c r="S39" s="492"/>
      <c r="T39" s="492" t="str">
        <f aca="true">IF(Build!AE651,OFFSET(Spells!AU$2,Build!AE651,0),"")</f>
        <v/>
      </c>
      <c r="U39" s="492"/>
      <c r="V39" s="492"/>
      <c r="W39" s="492" t="str">
        <f aca="true">IF(Build!AE651,OFFSET(Spells!AW$2,Build!AE651,0),"")</f>
        <v/>
      </c>
      <c r="X39" s="492"/>
      <c r="Y39" s="492"/>
      <c r="Z39" s="507" t="str">
        <f aca="false">Build!AK651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IF(Build!AE651,OFFSET(Spells!AX$2,Build!AE651,0),"")</f>
        <v/>
      </c>
      <c r="AL39" s="484"/>
      <c r="AM39" s="484"/>
    </row>
    <row r="40" customFormat="false" ht="11.1" hidden="false" customHeight="true" outlineLevel="0" collapsed="false">
      <c r="A40" s="389"/>
      <c r="B40" s="389"/>
      <c r="C40" s="491" t="str">
        <f aca="true">IF(Build!AE652,OFFSET(Spells!AP$2,Build!AE652,0),"")</f>
        <v/>
      </c>
      <c r="D40" s="491"/>
      <c r="E40" s="491"/>
      <c r="F40" s="491"/>
      <c r="G40" s="491"/>
      <c r="H40" s="491"/>
      <c r="I40" s="491"/>
      <c r="J40" s="491"/>
      <c r="K40" s="491"/>
      <c r="L40" s="492" t="str">
        <f aca="true">IF(Build!AE652,OFFSET(Spells!AQ$2,Build!AE652,0),"")</f>
        <v/>
      </c>
      <c r="M40" s="492"/>
      <c r="N40" s="492" t="str">
        <f aca="true">IF(Build!AE652,OFFSET(Spells!AR$2,Build!AE652,0),"")</f>
        <v/>
      </c>
      <c r="O40" s="492"/>
      <c r="P40" s="492" t="str">
        <f aca="true">IF(Build!AE652,OFFSET(Spells!AS$2,Build!AE652,0),"")</f>
        <v/>
      </c>
      <c r="Q40" s="492"/>
      <c r="R40" s="492" t="str">
        <f aca="true">IF(Build!AE652,OFFSET(Spells!AT$2,Build!AE652,0),"")</f>
        <v/>
      </c>
      <c r="S40" s="492"/>
      <c r="T40" s="492" t="str">
        <f aca="true">IF(Build!AE652,OFFSET(Spells!AU$2,Build!AE652,0),"")</f>
        <v/>
      </c>
      <c r="U40" s="492"/>
      <c r="V40" s="492"/>
      <c r="W40" s="492" t="str">
        <f aca="true">IF(Build!AE652,OFFSET(Spells!AW$2,Build!AE652,0),"")</f>
        <v/>
      </c>
      <c r="X40" s="492"/>
      <c r="Y40" s="492"/>
      <c r="Z40" s="507" t="str">
        <f aca="false">Build!AK652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IF(Build!AE652,OFFSET(Spells!AX$2,Build!AE652,0),"")</f>
        <v/>
      </c>
      <c r="AL40" s="484"/>
      <c r="AM40" s="484"/>
    </row>
    <row r="41" customFormat="false" ht="11.1" hidden="false" customHeight="true" outlineLevel="0" collapsed="false">
      <c r="A41" s="389"/>
      <c r="B41" s="389"/>
      <c r="C41" s="491" t="str">
        <f aca="true">IF(Build!AE653,OFFSET(Spells!AP$2,Build!AE653,0),"")</f>
        <v/>
      </c>
      <c r="D41" s="491"/>
      <c r="E41" s="491"/>
      <c r="F41" s="491"/>
      <c r="G41" s="491"/>
      <c r="H41" s="491"/>
      <c r="I41" s="491"/>
      <c r="J41" s="491"/>
      <c r="K41" s="491"/>
      <c r="L41" s="492" t="str">
        <f aca="true">IF(Build!AE653,OFFSET(Spells!AQ$2,Build!AE653,0),"")</f>
        <v/>
      </c>
      <c r="M41" s="492"/>
      <c r="N41" s="492" t="str">
        <f aca="true">IF(Build!AE653,OFFSET(Spells!AR$2,Build!AE653,0),"")</f>
        <v/>
      </c>
      <c r="O41" s="492"/>
      <c r="P41" s="492" t="str">
        <f aca="true">IF(Build!AE653,OFFSET(Spells!AS$2,Build!AE653,0),"")</f>
        <v/>
      </c>
      <c r="Q41" s="492"/>
      <c r="R41" s="492" t="str">
        <f aca="true">IF(Build!AE653,OFFSET(Spells!AT$2,Build!AE653,0),"")</f>
        <v/>
      </c>
      <c r="S41" s="492"/>
      <c r="T41" s="492" t="str">
        <f aca="true">IF(Build!AE653,OFFSET(Spells!AU$2,Build!AE653,0),"")</f>
        <v/>
      </c>
      <c r="U41" s="492"/>
      <c r="V41" s="492"/>
      <c r="W41" s="492" t="str">
        <f aca="true">IF(Build!AE653,OFFSET(Spells!AW$2,Build!AE653,0),"")</f>
        <v/>
      </c>
      <c r="X41" s="492"/>
      <c r="Y41" s="492"/>
      <c r="Z41" s="507" t="str">
        <f aca="false">Build!AK653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IF(Build!AE653,OFFSET(Spells!AX$2,Build!AE653,0),"")</f>
        <v/>
      </c>
      <c r="AL41" s="484"/>
      <c r="AM41" s="484"/>
    </row>
    <row r="42" customFormat="false" ht="11.1" hidden="false" customHeight="true" outlineLevel="0" collapsed="false">
      <c r="A42" s="389"/>
      <c r="B42" s="389"/>
      <c r="C42" s="491" t="str">
        <f aca="true">IF(Build!AE654,OFFSET(Spells!AP$2,Build!AE654,0),"")</f>
        <v/>
      </c>
      <c r="D42" s="491"/>
      <c r="E42" s="491"/>
      <c r="F42" s="491"/>
      <c r="G42" s="491"/>
      <c r="H42" s="491"/>
      <c r="I42" s="491"/>
      <c r="J42" s="491"/>
      <c r="K42" s="491"/>
      <c r="L42" s="492" t="str">
        <f aca="true">IF(Build!AE654,OFFSET(Spells!AQ$2,Build!AE654,0),"")</f>
        <v/>
      </c>
      <c r="M42" s="492"/>
      <c r="N42" s="492" t="str">
        <f aca="true">IF(Build!AE654,OFFSET(Spells!AR$2,Build!AE654,0),"")</f>
        <v/>
      </c>
      <c r="O42" s="492"/>
      <c r="P42" s="492" t="str">
        <f aca="true">IF(Build!AE654,OFFSET(Spells!AS$2,Build!AE654,0),"")</f>
        <v/>
      </c>
      <c r="Q42" s="492"/>
      <c r="R42" s="492" t="str">
        <f aca="true">IF(Build!AE654,OFFSET(Spells!AT$2,Build!AE654,0),"")</f>
        <v/>
      </c>
      <c r="S42" s="492"/>
      <c r="T42" s="492" t="str">
        <f aca="true">IF(Build!AE654,OFFSET(Spells!AU$2,Build!AE654,0),"")</f>
        <v/>
      </c>
      <c r="U42" s="492"/>
      <c r="V42" s="492"/>
      <c r="W42" s="492" t="str">
        <f aca="true">IF(Build!AE654,OFFSET(Spells!AW$2,Build!AE654,0),"")</f>
        <v/>
      </c>
      <c r="X42" s="492"/>
      <c r="Y42" s="492"/>
      <c r="Z42" s="507" t="str">
        <f aca="false">Build!AK654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IF(Build!AE654,OFFSET(Spells!AX$2,Build!AE654,0),"")</f>
        <v/>
      </c>
      <c r="AL42" s="484"/>
      <c r="AM42" s="484"/>
    </row>
    <row r="43" customFormat="false" ht="11.1" hidden="false" customHeight="true" outlineLevel="0" collapsed="false">
      <c r="A43" s="389"/>
      <c r="B43" s="389"/>
      <c r="C43" s="491" t="str">
        <f aca="true">IF(Build!AE655,OFFSET(Spells!AP$2,Build!AE655,0),"")</f>
        <v/>
      </c>
      <c r="D43" s="491"/>
      <c r="E43" s="491"/>
      <c r="F43" s="491"/>
      <c r="G43" s="491"/>
      <c r="H43" s="491"/>
      <c r="I43" s="491"/>
      <c r="J43" s="491"/>
      <c r="K43" s="491"/>
      <c r="L43" s="492" t="str">
        <f aca="true">IF(Build!AE655,OFFSET(Spells!AQ$2,Build!AE655,0),"")</f>
        <v/>
      </c>
      <c r="M43" s="492"/>
      <c r="N43" s="492" t="str">
        <f aca="true">IF(Build!AE655,OFFSET(Spells!AR$2,Build!AE655,0),"")</f>
        <v/>
      </c>
      <c r="O43" s="492"/>
      <c r="P43" s="492" t="str">
        <f aca="true">IF(Build!AE655,OFFSET(Spells!AS$2,Build!AE655,0),"")</f>
        <v/>
      </c>
      <c r="Q43" s="492"/>
      <c r="R43" s="492" t="str">
        <f aca="true">IF(Build!AE655,OFFSET(Spells!AT$2,Build!AE655,0),"")</f>
        <v/>
      </c>
      <c r="S43" s="492"/>
      <c r="T43" s="492" t="str">
        <f aca="true">IF(Build!AE655,OFFSET(Spells!AU$2,Build!AE655,0),"")</f>
        <v/>
      </c>
      <c r="U43" s="492"/>
      <c r="V43" s="492"/>
      <c r="W43" s="492" t="str">
        <f aca="true">IF(Build!AE655,OFFSET(Spells!AW$2,Build!AE655,0),"")</f>
        <v/>
      </c>
      <c r="X43" s="492"/>
      <c r="Y43" s="492"/>
      <c r="Z43" s="507" t="str">
        <f aca="false">Build!AK655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IF(Build!AE655,OFFSET(Spells!AX$2,Build!AE655,0),"")</f>
        <v/>
      </c>
      <c r="AL43" s="484"/>
      <c r="AM43" s="484"/>
    </row>
    <row r="44" customFormat="false" ht="11.1" hidden="false" customHeight="true" outlineLevel="0" collapsed="false">
      <c r="A44" s="389"/>
      <c r="B44" s="389"/>
      <c r="C44" s="491" t="str">
        <f aca="true">IF(Build!AE656,OFFSET(Spells!AP$2,Build!AE656,0),"")</f>
        <v/>
      </c>
      <c r="D44" s="491"/>
      <c r="E44" s="491"/>
      <c r="F44" s="491"/>
      <c r="G44" s="491"/>
      <c r="H44" s="491"/>
      <c r="I44" s="491"/>
      <c r="J44" s="491"/>
      <c r="K44" s="491"/>
      <c r="L44" s="492" t="str">
        <f aca="true">IF(Build!AE656,OFFSET(Spells!AQ$2,Build!AE656,0),"")</f>
        <v/>
      </c>
      <c r="M44" s="492"/>
      <c r="N44" s="492" t="str">
        <f aca="true">IF(Build!AE656,OFFSET(Spells!AR$2,Build!AE656,0),"")</f>
        <v/>
      </c>
      <c r="O44" s="492"/>
      <c r="P44" s="492" t="str">
        <f aca="true">IF(Build!AE656,OFFSET(Spells!AS$2,Build!AE656,0),"")</f>
        <v/>
      </c>
      <c r="Q44" s="492"/>
      <c r="R44" s="492" t="str">
        <f aca="true">IF(Build!AE656,OFFSET(Spells!AT$2,Build!AE656,0),"")</f>
        <v/>
      </c>
      <c r="S44" s="492"/>
      <c r="T44" s="492" t="str">
        <f aca="true">IF(Build!AE656,OFFSET(Spells!AU$2,Build!AE656,0),"")</f>
        <v/>
      </c>
      <c r="U44" s="492"/>
      <c r="V44" s="492"/>
      <c r="W44" s="492" t="str">
        <f aca="true">IF(Build!AE656,OFFSET(Spells!AW$2,Build!AE656,0),"")</f>
        <v/>
      </c>
      <c r="X44" s="492"/>
      <c r="Y44" s="492"/>
      <c r="Z44" s="507" t="str">
        <f aca="false">Build!AK656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IF(Build!AE656,OFFSET(Spells!AX$2,Build!AE656,0),"")</f>
        <v/>
      </c>
      <c r="AL44" s="484"/>
      <c r="AM44" s="484"/>
    </row>
    <row r="45" customFormat="false" ht="11.1" hidden="false" customHeight="true" outlineLevel="0" collapsed="false">
      <c r="A45" s="389"/>
      <c r="B45" s="389"/>
      <c r="C45" s="491" t="str">
        <f aca="true">IF(Build!AE657,OFFSET(Spells!AP$2,Build!AE657,0),"")</f>
        <v/>
      </c>
      <c r="D45" s="491"/>
      <c r="E45" s="491"/>
      <c r="F45" s="491"/>
      <c r="G45" s="491"/>
      <c r="H45" s="491"/>
      <c r="I45" s="491"/>
      <c r="J45" s="491"/>
      <c r="K45" s="491"/>
      <c r="L45" s="492" t="str">
        <f aca="true">IF(Build!AE657,OFFSET(Spells!AQ$2,Build!AE657,0),"")</f>
        <v/>
      </c>
      <c r="M45" s="492"/>
      <c r="N45" s="492" t="str">
        <f aca="true">IF(Build!AE657,OFFSET(Spells!AR$2,Build!AE657,0),"")</f>
        <v/>
      </c>
      <c r="O45" s="492"/>
      <c r="P45" s="492" t="str">
        <f aca="true">IF(Build!AE657,OFFSET(Spells!AS$2,Build!AE657,0),"")</f>
        <v/>
      </c>
      <c r="Q45" s="492"/>
      <c r="R45" s="492" t="str">
        <f aca="true">IF(Build!AE657,OFFSET(Spells!AT$2,Build!AE657,0),"")</f>
        <v/>
      </c>
      <c r="S45" s="492"/>
      <c r="T45" s="492" t="str">
        <f aca="true">IF(Build!AE657,OFFSET(Spells!AU$2,Build!AE657,0),"")</f>
        <v/>
      </c>
      <c r="U45" s="492"/>
      <c r="V45" s="492"/>
      <c r="W45" s="492" t="str">
        <f aca="true">IF(Build!AE657,OFFSET(Spells!AW$2,Build!AE657,0),"")</f>
        <v/>
      </c>
      <c r="X45" s="492"/>
      <c r="Y45" s="492"/>
      <c r="Z45" s="507" t="str">
        <f aca="false">Build!AK657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IF(Build!AE657,OFFSET(Spells!AX$2,Build!AE657,0),"")</f>
        <v/>
      </c>
      <c r="AL45" s="484"/>
      <c r="AM45" s="484"/>
    </row>
    <row r="46" customFormat="false" ht="11.1" hidden="false" customHeight="true" outlineLevel="0" collapsed="false">
      <c r="A46" s="389"/>
      <c r="B46" s="389"/>
      <c r="C46" s="491" t="str">
        <f aca="true">IF(Build!AE658,OFFSET(Spells!AP$2,Build!AE658,0),"")</f>
        <v/>
      </c>
      <c r="D46" s="491"/>
      <c r="E46" s="491"/>
      <c r="F46" s="491"/>
      <c r="G46" s="491"/>
      <c r="H46" s="491"/>
      <c r="I46" s="491"/>
      <c r="J46" s="491"/>
      <c r="K46" s="491"/>
      <c r="L46" s="492" t="str">
        <f aca="true">IF(Build!AE658,OFFSET(Spells!AQ$2,Build!AE658,0),"")</f>
        <v/>
      </c>
      <c r="M46" s="492"/>
      <c r="N46" s="492" t="str">
        <f aca="true">IF(Build!AE658,OFFSET(Spells!AR$2,Build!AE658,0),"")</f>
        <v/>
      </c>
      <c r="O46" s="492"/>
      <c r="P46" s="492" t="str">
        <f aca="true">IF(Build!AE658,OFFSET(Spells!AS$2,Build!AE658,0),"")</f>
        <v/>
      </c>
      <c r="Q46" s="492"/>
      <c r="R46" s="492" t="str">
        <f aca="true">IF(Build!AE658,OFFSET(Spells!AT$2,Build!AE658,0),"")</f>
        <v/>
      </c>
      <c r="S46" s="492"/>
      <c r="T46" s="492" t="str">
        <f aca="true">IF(Build!AE658,OFFSET(Spells!AU$2,Build!AE658,0),"")</f>
        <v/>
      </c>
      <c r="U46" s="492"/>
      <c r="V46" s="492"/>
      <c r="W46" s="492" t="str">
        <f aca="true">IF(Build!AE658,OFFSET(Spells!AW$2,Build!AE658,0),"")</f>
        <v/>
      </c>
      <c r="X46" s="492"/>
      <c r="Y46" s="492"/>
      <c r="Z46" s="507" t="str">
        <f aca="false">Build!AK658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IF(Build!AE658,OFFSET(Spells!AX$2,Build!AE658,0),"")</f>
        <v/>
      </c>
      <c r="AL46" s="484"/>
      <c r="AM46" s="484"/>
    </row>
    <row r="47" customFormat="false" ht="11.1" hidden="false" customHeight="true" outlineLevel="0" collapsed="false">
      <c r="A47" s="389"/>
      <c r="B47" s="389"/>
      <c r="C47" s="491" t="str">
        <f aca="true">IF(Build!AE659,OFFSET(Spells!AP$2,Build!AE659,0),"")</f>
        <v/>
      </c>
      <c r="D47" s="491"/>
      <c r="E47" s="491"/>
      <c r="F47" s="491"/>
      <c r="G47" s="491"/>
      <c r="H47" s="491"/>
      <c r="I47" s="491"/>
      <c r="J47" s="491"/>
      <c r="K47" s="491"/>
      <c r="L47" s="492" t="str">
        <f aca="true">IF(Build!AE659,OFFSET(Spells!AQ$2,Build!AE659,0),"")</f>
        <v/>
      </c>
      <c r="M47" s="492"/>
      <c r="N47" s="492" t="str">
        <f aca="true">IF(Build!AE659,OFFSET(Spells!AR$2,Build!AE659,0),"")</f>
        <v/>
      </c>
      <c r="O47" s="492"/>
      <c r="P47" s="492" t="str">
        <f aca="true">IF(Build!AE659,OFFSET(Spells!AS$2,Build!AE659,0),"")</f>
        <v/>
      </c>
      <c r="Q47" s="492"/>
      <c r="R47" s="492" t="str">
        <f aca="true">IF(Build!AE659,OFFSET(Spells!AT$2,Build!AE659,0),"")</f>
        <v/>
      </c>
      <c r="S47" s="492"/>
      <c r="T47" s="492" t="str">
        <f aca="true">IF(Build!AE659,OFFSET(Spells!AU$2,Build!AE659,0),"")</f>
        <v/>
      </c>
      <c r="U47" s="492"/>
      <c r="V47" s="492"/>
      <c r="W47" s="492" t="str">
        <f aca="true">IF(Build!AE659,OFFSET(Spells!AW$2,Build!AE659,0),"")</f>
        <v/>
      </c>
      <c r="X47" s="492"/>
      <c r="Y47" s="492"/>
      <c r="Z47" s="507" t="str">
        <f aca="false">Build!AK659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IF(Build!AE659,OFFSET(Spells!AX$2,Build!AE659,0),"")</f>
        <v/>
      </c>
      <c r="AL47" s="484"/>
      <c r="AM47" s="484"/>
    </row>
    <row r="48" customFormat="false" ht="11.1" hidden="false" customHeight="true" outlineLevel="0" collapsed="false">
      <c r="A48" s="389"/>
      <c r="B48" s="389"/>
      <c r="C48" s="491" t="str">
        <f aca="true">IF(Build!AE660,OFFSET(Spells!AP$2,Build!AE660,0),"")</f>
        <v/>
      </c>
      <c r="D48" s="491"/>
      <c r="E48" s="491"/>
      <c r="F48" s="491"/>
      <c r="G48" s="491"/>
      <c r="H48" s="491"/>
      <c r="I48" s="491"/>
      <c r="J48" s="491"/>
      <c r="K48" s="491"/>
      <c r="L48" s="492" t="str">
        <f aca="true">IF(Build!AE660,OFFSET(Spells!AQ$2,Build!AE660,0),"")</f>
        <v/>
      </c>
      <c r="M48" s="492"/>
      <c r="N48" s="492" t="str">
        <f aca="true">IF(Build!AE660,OFFSET(Spells!AR$2,Build!AE660,0),"")</f>
        <v/>
      </c>
      <c r="O48" s="492"/>
      <c r="P48" s="492" t="str">
        <f aca="true">IF(Build!AE660,OFFSET(Spells!AS$2,Build!AE660,0),"")</f>
        <v/>
      </c>
      <c r="Q48" s="492"/>
      <c r="R48" s="492" t="str">
        <f aca="true">IF(Build!AE660,OFFSET(Spells!AT$2,Build!AE660,0),"")</f>
        <v/>
      </c>
      <c r="S48" s="492"/>
      <c r="T48" s="492" t="str">
        <f aca="true">IF(Build!AE660,OFFSET(Spells!AU$2,Build!AE660,0),"")</f>
        <v/>
      </c>
      <c r="U48" s="492"/>
      <c r="V48" s="492"/>
      <c r="W48" s="492" t="str">
        <f aca="true">IF(Build!AE660,OFFSET(Spells!AW$2,Build!AE660,0),"")</f>
        <v/>
      </c>
      <c r="X48" s="492"/>
      <c r="Y48" s="492"/>
      <c r="Z48" s="507" t="str">
        <f aca="false">Build!AK660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IF(Build!AE660,OFFSET(Spells!AX$2,Build!AE660,0),"")</f>
        <v/>
      </c>
      <c r="AL48" s="484"/>
      <c r="AM48" s="484"/>
    </row>
    <row r="49" customFormat="false" ht="11.1" hidden="false" customHeight="true" outlineLevel="0" collapsed="false">
      <c r="A49" s="389"/>
      <c r="B49" s="389"/>
      <c r="C49" s="491" t="str">
        <f aca="true">IF(Build!AE661,OFFSET(Spells!AP$2,Build!AE661,0),"")</f>
        <v/>
      </c>
      <c r="D49" s="491"/>
      <c r="E49" s="491"/>
      <c r="F49" s="491"/>
      <c r="G49" s="491"/>
      <c r="H49" s="491"/>
      <c r="I49" s="491"/>
      <c r="J49" s="491"/>
      <c r="K49" s="491"/>
      <c r="L49" s="492" t="str">
        <f aca="true">IF(Build!AE661,OFFSET(Spells!AQ$2,Build!AE661,0),"")</f>
        <v/>
      </c>
      <c r="M49" s="492"/>
      <c r="N49" s="492" t="str">
        <f aca="true">IF(Build!AE661,OFFSET(Spells!AR$2,Build!AE661,0),"")</f>
        <v/>
      </c>
      <c r="O49" s="492"/>
      <c r="P49" s="492" t="str">
        <f aca="true">IF(Build!AE661,OFFSET(Spells!AS$2,Build!AE661,0),"")</f>
        <v/>
      </c>
      <c r="Q49" s="492"/>
      <c r="R49" s="492" t="str">
        <f aca="true">IF(Build!AE661,OFFSET(Spells!AT$2,Build!AE661,0),"")</f>
        <v/>
      </c>
      <c r="S49" s="492"/>
      <c r="T49" s="492" t="str">
        <f aca="true">IF(Build!AE661,OFFSET(Spells!AU$2,Build!AE661,0),"")</f>
        <v/>
      </c>
      <c r="U49" s="492"/>
      <c r="V49" s="492"/>
      <c r="W49" s="492" t="str">
        <f aca="true">IF(Build!AE661,OFFSET(Spells!AW$2,Build!AE661,0),"")</f>
        <v/>
      </c>
      <c r="X49" s="492"/>
      <c r="Y49" s="492"/>
      <c r="Z49" s="507" t="str">
        <f aca="false">Build!AK661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IF(Build!AE661,OFFSET(Spells!AX$2,Build!AE661,0),"")</f>
        <v/>
      </c>
      <c r="AL49" s="484"/>
      <c r="AM49" s="484"/>
    </row>
    <row r="50" customFormat="false" ht="11.1" hidden="false" customHeight="true" outlineLevel="0" collapsed="false">
      <c r="A50" s="389"/>
      <c r="B50" s="389"/>
      <c r="C50" s="491" t="str">
        <f aca="true">IF(Build!AE662,OFFSET(Spells!AP$2,Build!AE662,0),"")</f>
        <v/>
      </c>
      <c r="D50" s="491"/>
      <c r="E50" s="491"/>
      <c r="F50" s="491"/>
      <c r="G50" s="491"/>
      <c r="H50" s="491"/>
      <c r="I50" s="491"/>
      <c r="J50" s="491"/>
      <c r="K50" s="491"/>
      <c r="L50" s="492" t="str">
        <f aca="true">IF(Build!AE662,OFFSET(Spells!AQ$2,Build!AE662,0),"")</f>
        <v/>
      </c>
      <c r="M50" s="492"/>
      <c r="N50" s="492" t="str">
        <f aca="true">IF(Build!AE662,OFFSET(Spells!AR$2,Build!AE662,0),"")</f>
        <v/>
      </c>
      <c r="O50" s="492"/>
      <c r="P50" s="492" t="str">
        <f aca="true">IF(Build!AE662,OFFSET(Spells!AS$2,Build!AE662,0),"")</f>
        <v/>
      </c>
      <c r="Q50" s="492"/>
      <c r="R50" s="492" t="str">
        <f aca="true">IF(Build!AE662,OFFSET(Spells!AT$2,Build!AE662,0),"")</f>
        <v/>
      </c>
      <c r="S50" s="492"/>
      <c r="T50" s="492" t="str">
        <f aca="true">IF(Build!AE662,OFFSET(Spells!AU$2,Build!AE662,0),"")</f>
        <v/>
      </c>
      <c r="U50" s="492"/>
      <c r="V50" s="492"/>
      <c r="W50" s="492" t="str">
        <f aca="true">IF(Build!AE662,OFFSET(Spells!AW$2,Build!AE662,0),"")</f>
        <v/>
      </c>
      <c r="X50" s="492"/>
      <c r="Y50" s="492"/>
      <c r="Z50" s="507" t="str">
        <f aca="false">Build!AK662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IF(Build!AE662,OFFSET(Spells!AX$2,Build!AE662,0),"")</f>
        <v/>
      </c>
      <c r="AL50" s="484"/>
      <c r="AM50" s="484"/>
    </row>
    <row r="51" customFormat="false" ht="11.1" hidden="false" customHeight="true" outlineLevel="0" collapsed="false">
      <c r="A51" s="389"/>
      <c r="B51" s="389"/>
      <c r="C51" s="491" t="str">
        <f aca="true">IF(Build!AE663,OFFSET(Spells!AP$2,Build!AE663,0),"")</f>
        <v/>
      </c>
      <c r="D51" s="491"/>
      <c r="E51" s="491"/>
      <c r="F51" s="491"/>
      <c r="G51" s="491"/>
      <c r="H51" s="491"/>
      <c r="I51" s="491"/>
      <c r="J51" s="491"/>
      <c r="K51" s="491"/>
      <c r="L51" s="492" t="str">
        <f aca="true">IF(Build!AE663,OFFSET(Spells!AQ$2,Build!AE663,0),"")</f>
        <v/>
      </c>
      <c r="M51" s="492"/>
      <c r="N51" s="492" t="str">
        <f aca="true">IF(Build!AE663,OFFSET(Spells!AR$2,Build!AE663,0),"")</f>
        <v/>
      </c>
      <c r="O51" s="492"/>
      <c r="P51" s="492" t="str">
        <f aca="true">IF(Build!AE663,OFFSET(Spells!AS$2,Build!AE663,0),"")</f>
        <v/>
      </c>
      <c r="Q51" s="492"/>
      <c r="R51" s="492" t="str">
        <f aca="true">IF(Build!AE663,OFFSET(Spells!AT$2,Build!AE663,0),"")</f>
        <v/>
      </c>
      <c r="S51" s="492"/>
      <c r="T51" s="492" t="str">
        <f aca="true">IF(Build!AE663,OFFSET(Spells!AU$2,Build!AE663,0),"")</f>
        <v/>
      </c>
      <c r="U51" s="492"/>
      <c r="V51" s="492"/>
      <c r="W51" s="492" t="str">
        <f aca="true">IF(Build!AE663,OFFSET(Spells!AW$2,Build!AE663,0),"")</f>
        <v/>
      </c>
      <c r="X51" s="492"/>
      <c r="Y51" s="492"/>
      <c r="Z51" s="507" t="str">
        <f aca="false">Build!AK663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IF(Build!AE663,OFFSET(Spells!AX$2,Build!AE663,0),"")</f>
        <v/>
      </c>
      <c r="AL51" s="484"/>
      <c r="AM51" s="484"/>
    </row>
    <row r="52" customFormat="false" ht="11.1" hidden="false" customHeight="true" outlineLevel="0" collapsed="false">
      <c r="A52" s="389"/>
      <c r="B52" s="389"/>
      <c r="C52" s="491" t="str">
        <f aca="true">IF(Build!AE664,OFFSET(Spells!AP$2,Build!AE664,0),"")</f>
        <v/>
      </c>
      <c r="D52" s="491"/>
      <c r="E52" s="491"/>
      <c r="F52" s="491"/>
      <c r="G52" s="491"/>
      <c r="H52" s="491"/>
      <c r="I52" s="491"/>
      <c r="J52" s="491"/>
      <c r="K52" s="491"/>
      <c r="L52" s="492" t="str">
        <f aca="true">IF(Build!AE664,OFFSET(Spells!AQ$2,Build!AE664,0),"")</f>
        <v/>
      </c>
      <c r="M52" s="492"/>
      <c r="N52" s="492" t="str">
        <f aca="true">IF(Build!AE664,OFFSET(Spells!AR$2,Build!AE664,0),"")</f>
        <v/>
      </c>
      <c r="O52" s="492"/>
      <c r="P52" s="492" t="str">
        <f aca="true">IF(Build!AE664,OFFSET(Spells!AS$2,Build!AE664,0),"")</f>
        <v/>
      </c>
      <c r="Q52" s="492"/>
      <c r="R52" s="492" t="str">
        <f aca="true">IF(Build!AE664,OFFSET(Spells!AT$2,Build!AE664,0),"")</f>
        <v/>
      </c>
      <c r="S52" s="492"/>
      <c r="T52" s="492" t="str">
        <f aca="true">IF(Build!AE664,OFFSET(Spells!AU$2,Build!AE664,0),"")</f>
        <v/>
      </c>
      <c r="U52" s="492"/>
      <c r="V52" s="492"/>
      <c r="W52" s="492" t="str">
        <f aca="true">IF(Build!AE664,OFFSET(Spells!AW$2,Build!AE664,0),"")</f>
        <v/>
      </c>
      <c r="X52" s="492"/>
      <c r="Y52" s="492"/>
      <c r="Z52" s="507" t="str">
        <f aca="false">Build!AK664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IF(Build!AE664,OFFSET(Spells!AX$2,Build!AE664,0),"")</f>
        <v/>
      </c>
      <c r="AL52" s="484"/>
      <c r="AM52" s="484"/>
    </row>
    <row r="53" customFormat="false" ht="11.1" hidden="false" customHeight="true" outlineLevel="0" collapsed="false">
      <c r="A53" s="389"/>
      <c r="B53" s="389"/>
      <c r="C53" s="491" t="str">
        <f aca="true">IF(Build!AE665,OFFSET(Spells!AP$2,Build!AE665,0),"")</f>
        <v/>
      </c>
      <c r="D53" s="491"/>
      <c r="E53" s="491"/>
      <c r="F53" s="491"/>
      <c r="G53" s="491"/>
      <c r="H53" s="491"/>
      <c r="I53" s="491"/>
      <c r="J53" s="491"/>
      <c r="K53" s="491"/>
      <c r="L53" s="492" t="str">
        <f aca="true">IF(Build!AE665,OFFSET(Spells!AQ$2,Build!AE665,0),"")</f>
        <v/>
      </c>
      <c r="M53" s="492"/>
      <c r="N53" s="492" t="str">
        <f aca="true">IF(Build!AE665,OFFSET(Spells!AR$2,Build!AE665,0),"")</f>
        <v/>
      </c>
      <c r="O53" s="492"/>
      <c r="P53" s="492" t="str">
        <f aca="true">IF(Build!AE665,OFFSET(Spells!AS$2,Build!AE665,0),"")</f>
        <v/>
      </c>
      <c r="Q53" s="492"/>
      <c r="R53" s="492" t="str">
        <f aca="true">IF(Build!AE665,OFFSET(Spells!AT$2,Build!AE665,0),"")</f>
        <v/>
      </c>
      <c r="S53" s="492"/>
      <c r="T53" s="492" t="str">
        <f aca="true">IF(Build!AE665,OFFSET(Spells!AU$2,Build!AE665,0),"")</f>
        <v/>
      </c>
      <c r="U53" s="492"/>
      <c r="V53" s="492"/>
      <c r="W53" s="492" t="str">
        <f aca="true">IF(Build!AE665,OFFSET(Spells!AW$2,Build!AE665,0),"")</f>
        <v/>
      </c>
      <c r="X53" s="492"/>
      <c r="Y53" s="492"/>
      <c r="Z53" s="507" t="str">
        <f aca="false">Build!AK665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IF(Build!AE665,OFFSET(Spells!AX$2,Build!AE665,0),"")</f>
        <v/>
      </c>
      <c r="AL53" s="484"/>
      <c r="AM53" s="484"/>
    </row>
    <row r="54" customFormat="false" ht="11.1" hidden="false" customHeight="true" outlineLevel="0" collapsed="false">
      <c r="A54" s="389"/>
      <c r="B54" s="389"/>
      <c r="C54" s="491" t="str">
        <f aca="true">IF(Build!AE666,OFFSET(Spells!AP$2,Build!AE666,0),"")</f>
        <v/>
      </c>
      <c r="D54" s="491"/>
      <c r="E54" s="491"/>
      <c r="F54" s="491"/>
      <c r="G54" s="491"/>
      <c r="H54" s="491"/>
      <c r="I54" s="491"/>
      <c r="J54" s="491"/>
      <c r="K54" s="491"/>
      <c r="L54" s="492" t="str">
        <f aca="true">IF(Build!AE666,OFFSET(Spells!AQ$2,Build!AE666,0),"")</f>
        <v/>
      </c>
      <c r="M54" s="492"/>
      <c r="N54" s="492" t="str">
        <f aca="true">IF(Build!AE666,OFFSET(Spells!AR$2,Build!AE666,0),"")</f>
        <v/>
      </c>
      <c r="O54" s="492"/>
      <c r="P54" s="492" t="str">
        <f aca="true">IF(Build!AE666,OFFSET(Spells!AS$2,Build!AE666,0),"")</f>
        <v/>
      </c>
      <c r="Q54" s="492"/>
      <c r="R54" s="492" t="str">
        <f aca="true">IF(Build!AE666,OFFSET(Spells!AT$2,Build!AE666,0),"")</f>
        <v/>
      </c>
      <c r="S54" s="492"/>
      <c r="T54" s="492" t="str">
        <f aca="true">IF(Build!AE666,OFFSET(Spells!AU$2,Build!AE666,0),"")</f>
        <v/>
      </c>
      <c r="U54" s="492"/>
      <c r="V54" s="492"/>
      <c r="W54" s="492" t="str">
        <f aca="true">IF(Build!AE666,OFFSET(Spells!AW$2,Build!AE666,0),"")</f>
        <v/>
      </c>
      <c r="X54" s="492"/>
      <c r="Y54" s="492"/>
      <c r="Z54" s="507" t="str">
        <f aca="false">Build!AK666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IF(Build!AE666,OFFSET(Spells!AX$2,Build!AE666,0),"")</f>
        <v/>
      </c>
      <c r="AL54" s="484"/>
      <c r="AM54" s="484"/>
    </row>
    <row r="55" customFormat="false" ht="11.1" hidden="false" customHeight="true" outlineLevel="0" collapsed="false">
      <c r="A55" s="389"/>
      <c r="B55" s="389"/>
      <c r="C55" s="491" t="str">
        <f aca="true">IF(Build!AE667,OFFSET(Spells!AP$2,Build!AE667,0),"")</f>
        <v/>
      </c>
      <c r="D55" s="491"/>
      <c r="E55" s="491"/>
      <c r="F55" s="491"/>
      <c r="G55" s="491"/>
      <c r="H55" s="491"/>
      <c r="I55" s="491"/>
      <c r="J55" s="491"/>
      <c r="K55" s="491"/>
      <c r="L55" s="492" t="str">
        <f aca="true">IF(Build!AE667,OFFSET(Spells!AQ$2,Build!AE667,0),"")</f>
        <v/>
      </c>
      <c r="M55" s="492"/>
      <c r="N55" s="492" t="str">
        <f aca="true">IF(Build!AE667,OFFSET(Spells!AR$2,Build!AE667,0),"")</f>
        <v/>
      </c>
      <c r="O55" s="492"/>
      <c r="P55" s="492" t="str">
        <f aca="true">IF(Build!AE667,OFFSET(Spells!AS$2,Build!AE667,0),"")</f>
        <v/>
      </c>
      <c r="Q55" s="492"/>
      <c r="R55" s="492" t="str">
        <f aca="true">IF(Build!AE667,OFFSET(Spells!AT$2,Build!AE667,0),"")</f>
        <v/>
      </c>
      <c r="S55" s="492"/>
      <c r="T55" s="492" t="str">
        <f aca="true">IF(Build!AE667,OFFSET(Spells!AU$2,Build!AE667,0),"")</f>
        <v/>
      </c>
      <c r="U55" s="492"/>
      <c r="V55" s="492"/>
      <c r="W55" s="492" t="str">
        <f aca="true">IF(Build!AE667,OFFSET(Spells!AW$2,Build!AE667,0),"")</f>
        <v/>
      </c>
      <c r="X55" s="492"/>
      <c r="Y55" s="492"/>
      <c r="Z55" s="507" t="str">
        <f aca="false">Build!AK667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IF(Build!AE667,OFFSET(Spells!AX$2,Build!AE667,0),"")</f>
        <v/>
      </c>
      <c r="AL55" s="484"/>
      <c r="AM55" s="484"/>
    </row>
    <row r="56" customFormat="false" ht="11.1" hidden="false" customHeight="true" outlineLevel="0" collapsed="false">
      <c r="A56" s="389"/>
      <c r="B56" s="389"/>
      <c r="C56" s="491" t="str">
        <f aca="true">IF(Build!AE668,OFFSET(Spells!AP$2,Build!AE668,0),"")</f>
        <v/>
      </c>
      <c r="D56" s="491"/>
      <c r="E56" s="491"/>
      <c r="F56" s="491"/>
      <c r="G56" s="491"/>
      <c r="H56" s="491"/>
      <c r="I56" s="491"/>
      <c r="J56" s="491"/>
      <c r="K56" s="491"/>
      <c r="L56" s="492" t="str">
        <f aca="true">IF(Build!AE668,OFFSET(Spells!AQ$2,Build!AE668,0),"")</f>
        <v/>
      </c>
      <c r="M56" s="492"/>
      <c r="N56" s="492" t="str">
        <f aca="true">IF(Build!AE668,OFFSET(Spells!AR$2,Build!AE668,0),"")</f>
        <v/>
      </c>
      <c r="O56" s="492"/>
      <c r="P56" s="492" t="str">
        <f aca="true">IF(Build!AE668,OFFSET(Spells!AS$2,Build!AE668,0),"")</f>
        <v/>
      </c>
      <c r="Q56" s="492"/>
      <c r="R56" s="492" t="str">
        <f aca="true">IF(Build!AE668,OFFSET(Spells!AT$2,Build!AE668,0),"")</f>
        <v/>
      </c>
      <c r="S56" s="492"/>
      <c r="T56" s="492" t="str">
        <f aca="true">IF(Build!AE668,OFFSET(Spells!AU$2,Build!AE668,0),"")</f>
        <v/>
      </c>
      <c r="U56" s="492"/>
      <c r="V56" s="492"/>
      <c r="W56" s="492" t="str">
        <f aca="true">IF(Build!AE668,OFFSET(Spells!AW$2,Build!AE668,0),"")</f>
        <v/>
      </c>
      <c r="X56" s="492"/>
      <c r="Y56" s="492"/>
      <c r="Z56" s="507" t="str">
        <f aca="false">Build!AK668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IF(Build!AE668,OFFSET(Spells!AX$2,Build!AE668,0),"")</f>
        <v/>
      </c>
      <c r="AL56" s="484"/>
      <c r="AM56" s="484"/>
    </row>
    <row r="57" customFormat="false" ht="11.1" hidden="false" customHeight="true" outlineLevel="0" collapsed="false">
      <c r="A57" s="389"/>
      <c r="B57" s="389"/>
      <c r="C57" s="491" t="str">
        <f aca="true">IF(Build!AE669,OFFSET(Spells!AP$2,Build!AE669,0),"")</f>
        <v/>
      </c>
      <c r="D57" s="491"/>
      <c r="E57" s="491"/>
      <c r="F57" s="491"/>
      <c r="G57" s="491"/>
      <c r="H57" s="491"/>
      <c r="I57" s="491"/>
      <c r="J57" s="491"/>
      <c r="K57" s="491"/>
      <c r="L57" s="492" t="str">
        <f aca="true">IF(Build!AE669,OFFSET(Spells!AQ$2,Build!AE669,0),"")</f>
        <v/>
      </c>
      <c r="M57" s="492"/>
      <c r="N57" s="492" t="str">
        <f aca="true">IF(Build!AE669,OFFSET(Spells!AR$2,Build!AE669,0),"")</f>
        <v/>
      </c>
      <c r="O57" s="492"/>
      <c r="P57" s="492" t="str">
        <f aca="true">IF(Build!AE669,OFFSET(Spells!AS$2,Build!AE669,0),"")</f>
        <v/>
      </c>
      <c r="Q57" s="492"/>
      <c r="R57" s="492" t="str">
        <f aca="true">IF(Build!AE669,OFFSET(Spells!AT$2,Build!AE669,0),"")</f>
        <v/>
      </c>
      <c r="S57" s="492"/>
      <c r="T57" s="492" t="str">
        <f aca="true">IF(Build!AE669,OFFSET(Spells!AU$2,Build!AE669,0),"")</f>
        <v/>
      </c>
      <c r="U57" s="492"/>
      <c r="V57" s="492"/>
      <c r="W57" s="492" t="str">
        <f aca="true">IF(Build!AE669,OFFSET(Spells!AW$2,Build!AE669,0),"")</f>
        <v/>
      </c>
      <c r="X57" s="492"/>
      <c r="Y57" s="492"/>
      <c r="Z57" s="507" t="str">
        <f aca="false">Build!AK669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IF(Build!AE669,OFFSET(Spells!AX$2,Build!AE669,0),"")</f>
        <v/>
      </c>
      <c r="AL57" s="484"/>
      <c r="AM57" s="484"/>
    </row>
    <row r="58" customFormat="false" ht="11.1" hidden="false" customHeight="true" outlineLevel="0" collapsed="false">
      <c r="A58" s="389"/>
      <c r="B58" s="389"/>
      <c r="C58" s="491" t="str">
        <f aca="true">IF(Build!AE670,OFFSET(Spells!AP$2,Build!AE670,0),"")</f>
        <v/>
      </c>
      <c r="D58" s="491"/>
      <c r="E58" s="491"/>
      <c r="F58" s="491"/>
      <c r="G58" s="491"/>
      <c r="H58" s="491"/>
      <c r="I58" s="491"/>
      <c r="J58" s="491"/>
      <c r="K58" s="491"/>
      <c r="L58" s="492" t="str">
        <f aca="true">IF(Build!AE670,OFFSET(Spells!AQ$2,Build!AE670,0),"")</f>
        <v/>
      </c>
      <c r="M58" s="492"/>
      <c r="N58" s="492" t="str">
        <f aca="true">IF(Build!AE670,OFFSET(Spells!AR$2,Build!AE670,0),"")</f>
        <v/>
      </c>
      <c r="O58" s="492"/>
      <c r="P58" s="492" t="str">
        <f aca="true">IF(Build!AE670,OFFSET(Spells!AS$2,Build!AE670,0),"")</f>
        <v/>
      </c>
      <c r="Q58" s="492"/>
      <c r="R58" s="492" t="str">
        <f aca="true">IF(Build!AE670,OFFSET(Spells!AT$2,Build!AE670,0),"")</f>
        <v/>
      </c>
      <c r="S58" s="492"/>
      <c r="T58" s="492" t="str">
        <f aca="true">IF(Build!AE670,OFFSET(Spells!AU$2,Build!AE670,0),"")</f>
        <v/>
      </c>
      <c r="U58" s="492"/>
      <c r="V58" s="492"/>
      <c r="W58" s="492" t="str">
        <f aca="true">IF(Build!AE670,OFFSET(Spells!AW$2,Build!AE670,0),"")</f>
        <v/>
      </c>
      <c r="X58" s="492"/>
      <c r="Y58" s="492"/>
      <c r="Z58" s="507" t="str">
        <f aca="false">Build!AK670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IF(Build!AE670,OFFSET(Spells!AX$2,Build!AE670,0),"")</f>
        <v/>
      </c>
      <c r="AL58" s="484"/>
      <c r="AM58" s="484"/>
    </row>
    <row r="59" customFormat="false" ht="11.1" hidden="false" customHeight="true" outlineLevel="0" collapsed="false">
      <c r="A59" s="389"/>
      <c r="B59" s="389"/>
      <c r="C59" s="491" t="str">
        <f aca="true">IF(Build!AE671,OFFSET(Spells!AP$2,Build!AE671,0),"")</f>
        <v/>
      </c>
      <c r="D59" s="491"/>
      <c r="E59" s="491"/>
      <c r="F59" s="491"/>
      <c r="G59" s="491"/>
      <c r="H59" s="491"/>
      <c r="I59" s="491"/>
      <c r="J59" s="491"/>
      <c r="K59" s="491"/>
      <c r="L59" s="492" t="str">
        <f aca="true">IF(Build!AE671,OFFSET(Spells!AQ$2,Build!AE671,0),"")</f>
        <v/>
      </c>
      <c r="M59" s="492"/>
      <c r="N59" s="492" t="str">
        <f aca="true">IF(Build!AE671,OFFSET(Spells!AR$2,Build!AE671,0),"")</f>
        <v/>
      </c>
      <c r="O59" s="492"/>
      <c r="P59" s="492" t="str">
        <f aca="true">IF(Build!AE671,OFFSET(Spells!AS$2,Build!AE671,0),"")</f>
        <v/>
      </c>
      <c r="Q59" s="492"/>
      <c r="R59" s="492" t="str">
        <f aca="true">IF(Build!AE671,OFFSET(Spells!AT$2,Build!AE671,0),"")</f>
        <v/>
      </c>
      <c r="S59" s="492"/>
      <c r="T59" s="492" t="str">
        <f aca="true">IF(Build!AE671,OFFSET(Spells!AU$2,Build!AE671,0),"")</f>
        <v/>
      </c>
      <c r="U59" s="492"/>
      <c r="V59" s="492"/>
      <c r="W59" s="492" t="str">
        <f aca="true">IF(Build!AE671,OFFSET(Spells!AW$2,Build!AE671,0),"")</f>
        <v/>
      </c>
      <c r="X59" s="492"/>
      <c r="Y59" s="492"/>
      <c r="Z59" s="507" t="str">
        <f aca="false">Build!AK671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IF(Build!AE671,OFFSET(Spells!AX$2,Build!AE671,0),"")</f>
        <v/>
      </c>
      <c r="AL59" s="484"/>
      <c r="AM59" s="484"/>
    </row>
    <row r="60" customFormat="false" ht="11.1" hidden="false" customHeight="true" outlineLevel="0" collapsed="false">
      <c r="A60" s="389"/>
      <c r="B60" s="389"/>
      <c r="C60" s="491" t="str">
        <f aca="true">IF(Build!AE672,OFFSET(Spells!AP$2,Build!AE672,0),"")</f>
        <v/>
      </c>
      <c r="D60" s="491"/>
      <c r="E60" s="491"/>
      <c r="F60" s="491"/>
      <c r="G60" s="491"/>
      <c r="H60" s="491"/>
      <c r="I60" s="491"/>
      <c r="J60" s="491"/>
      <c r="K60" s="491"/>
      <c r="L60" s="492" t="str">
        <f aca="true">IF(Build!AE672,OFFSET(Spells!AQ$2,Build!AE672,0),"")</f>
        <v/>
      </c>
      <c r="M60" s="492"/>
      <c r="N60" s="492" t="str">
        <f aca="true">IF(Build!AE672,OFFSET(Spells!AR$2,Build!AE672,0),"")</f>
        <v/>
      </c>
      <c r="O60" s="492"/>
      <c r="P60" s="492" t="str">
        <f aca="true">IF(Build!AE672,OFFSET(Spells!AS$2,Build!AE672,0),"")</f>
        <v/>
      </c>
      <c r="Q60" s="492"/>
      <c r="R60" s="492" t="str">
        <f aca="true">IF(Build!AE672,OFFSET(Spells!AT$2,Build!AE672,0),"")</f>
        <v/>
      </c>
      <c r="S60" s="492"/>
      <c r="T60" s="492" t="str">
        <f aca="true">IF(Build!AE672,OFFSET(Spells!AU$2,Build!AE672,0),"")</f>
        <v/>
      </c>
      <c r="U60" s="492"/>
      <c r="V60" s="492"/>
      <c r="W60" s="492" t="str">
        <f aca="true">IF(Build!AE672,OFFSET(Spells!AW$2,Build!AE672,0),"")</f>
        <v/>
      </c>
      <c r="X60" s="492"/>
      <c r="Y60" s="492"/>
      <c r="Z60" s="507" t="str">
        <f aca="false">Build!AK672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IF(Build!AE672,OFFSET(Spells!AX$2,Build!AE672,0),"")</f>
        <v/>
      </c>
      <c r="AL60" s="484"/>
      <c r="AM60" s="484"/>
    </row>
    <row r="61" customFormat="false" ht="11.1" hidden="false" customHeight="true" outlineLevel="0" collapsed="false">
      <c r="A61" s="389"/>
      <c r="B61" s="389"/>
      <c r="C61" s="491" t="str">
        <f aca="true">IF(Build!AE673,OFFSET(Spells!AP$2,Build!AE673,0),"")</f>
        <v/>
      </c>
      <c r="D61" s="491"/>
      <c r="E61" s="491"/>
      <c r="F61" s="491"/>
      <c r="G61" s="491"/>
      <c r="H61" s="491"/>
      <c r="I61" s="491"/>
      <c r="J61" s="491"/>
      <c r="K61" s="491"/>
      <c r="L61" s="492" t="str">
        <f aca="true">IF(Build!AE673,OFFSET(Spells!AQ$2,Build!AE673,0),"")</f>
        <v/>
      </c>
      <c r="M61" s="492"/>
      <c r="N61" s="492" t="str">
        <f aca="true">IF(Build!AE673,OFFSET(Spells!AR$2,Build!AE673,0),"")</f>
        <v/>
      </c>
      <c r="O61" s="492"/>
      <c r="P61" s="492" t="str">
        <f aca="true">IF(Build!AE673,OFFSET(Spells!AS$2,Build!AE673,0),"")</f>
        <v/>
      </c>
      <c r="Q61" s="492"/>
      <c r="R61" s="492" t="str">
        <f aca="true">IF(Build!AE673,OFFSET(Spells!AT$2,Build!AE673,0),"")</f>
        <v/>
      </c>
      <c r="S61" s="492"/>
      <c r="T61" s="492" t="str">
        <f aca="true">IF(Build!AE673,OFFSET(Spells!AU$2,Build!AE673,0),"")</f>
        <v/>
      </c>
      <c r="U61" s="492"/>
      <c r="V61" s="492"/>
      <c r="W61" s="492" t="str">
        <f aca="true">IF(Build!AE673,OFFSET(Spells!AW$2,Build!AE673,0),"")</f>
        <v/>
      </c>
      <c r="X61" s="492"/>
      <c r="Y61" s="492"/>
      <c r="Z61" s="507" t="str">
        <f aca="false">Build!AK673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IF(Build!AE673,OFFSET(Spells!AX$2,Build!AE673,0),"")</f>
        <v/>
      </c>
      <c r="AL61" s="484"/>
      <c r="AM61" s="484"/>
    </row>
    <row r="62" customFormat="false" ht="11.1" hidden="false" customHeight="true" outlineLevel="0" collapsed="false">
      <c r="A62" s="389"/>
      <c r="B62" s="389"/>
      <c r="C62" s="491" t="str">
        <f aca="true">IF(Build!AE674,OFFSET(Spells!AP$2,Build!AE674,0),"")</f>
        <v/>
      </c>
      <c r="D62" s="491"/>
      <c r="E62" s="491"/>
      <c r="F62" s="491"/>
      <c r="G62" s="491"/>
      <c r="H62" s="491"/>
      <c r="I62" s="491"/>
      <c r="J62" s="491"/>
      <c r="K62" s="491"/>
      <c r="L62" s="492" t="str">
        <f aca="true">IF(Build!AE674,OFFSET(Spells!AQ$2,Build!AE674,0),"")</f>
        <v/>
      </c>
      <c r="M62" s="492"/>
      <c r="N62" s="492" t="str">
        <f aca="true">IF(Build!AE674,OFFSET(Spells!AR$2,Build!AE674,0),"")</f>
        <v/>
      </c>
      <c r="O62" s="492"/>
      <c r="P62" s="492" t="str">
        <f aca="true">IF(Build!AE674,OFFSET(Spells!AS$2,Build!AE674,0),"")</f>
        <v/>
      </c>
      <c r="Q62" s="492"/>
      <c r="R62" s="492" t="str">
        <f aca="true">IF(Build!AE674,OFFSET(Spells!AT$2,Build!AE674,0),"")</f>
        <v/>
      </c>
      <c r="S62" s="492"/>
      <c r="T62" s="492" t="str">
        <f aca="true">IF(Build!AE674,OFFSET(Spells!AU$2,Build!AE674,0),"")</f>
        <v/>
      </c>
      <c r="U62" s="492"/>
      <c r="V62" s="492"/>
      <c r="W62" s="492" t="str">
        <f aca="true">IF(Build!AE674,OFFSET(Spells!AW$2,Build!AE674,0),"")</f>
        <v/>
      </c>
      <c r="X62" s="492"/>
      <c r="Y62" s="492"/>
      <c r="Z62" s="507" t="str">
        <f aca="false">Build!AK674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IF(Build!AE674,OFFSET(Spells!AX$2,Build!AE674,0),"")</f>
        <v/>
      </c>
      <c r="AL62" s="484"/>
      <c r="AM62" s="484"/>
    </row>
    <row r="63" customFormat="false" ht="11.1" hidden="false" customHeight="true" outlineLevel="0" collapsed="false">
      <c r="A63" s="389"/>
      <c r="B63" s="389"/>
      <c r="C63" s="491" t="str">
        <f aca="true">IF(Build!AE675,OFFSET(Spells!AP$2,Build!AE675,0),"")</f>
        <v/>
      </c>
      <c r="D63" s="491"/>
      <c r="E63" s="491"/>
      <c r="F63" s="491"/>
      <c r="G63" s="491"/>
      <c r="H63" s="491"/>
      <c r="I63" s="491"/>
      <c r="J63" s="491"/>
      <c r="K63" s="491"/>
      <c r="L63" s="492" t="str">
        <f aca="true">IF(Build!AE675,OFFSET(Spells!AQ$2,Build!AE675,0),"")</f>
        <v/>
      </c>
      <c r="M63" s="492"/>
      <c r="N63" s="492" t="str">
        <f aca="true">IF(Build!AE675,OFFSET(Spells!AR$2,Build!AE675,0),"")</f>
        <v/>
      </c>
      <c r="O63" s="492"/>
      <c r="P63" s="492" t="str">
        <f aca="true">IF(Build!AE675,OFFSET(Spells!AS$2,Build!AE675,0),"")</f>
        <v/>
      </c>
      <c r="Q63" s="492"/>
      <c r="R63" s="492" t="str">
        <f aca="true">IF(Build!AE675,OFFSET(Spells!AT$2,Build!AE675,0),"")</f>
        <v/>
      </c>
      <c r="S63" s="492"/>
      <c r="T63" s="492" t="str">
        <f aca="true">IF(Build!AE675,OFFSET(Spells!AU$2,Build!AE675,0),"")</f>
        <v/>
      </c>
      <c r="U63" s="492"/>
      <c r="V63" s="492"/>
      <c r="W63" s="492" t="str">
        <f aca="true">IF(Build!AE675,OFFSET(Spells!AW$2,Build!AE675,0),"")</f>
        <v/>
      </c>
      <c r="X63" s="492"/>
      <c r="Y63" s="492"/>
      <c r="Z63" s="507" t="str">
        <f aca="false">Build!AK675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IF(Build!AE675,OFFSET(Spells!AX$2,Build!AE675,0),"")</f>
        <v/>
      </c>
      <c r="AL63" s="484"/>
      <c r="AM63" s="484"/>
    </row>
    <row r="64" customFormat="false" ht="11.1" hidden="false" customHeight="true" outlineLevel="0" collapsed="false">
      <c r="A64" s="389"/>
      <c r="B64" s="389"/>
      <c r="C64" s="491" t="str">
        <f aca="true">IF(Build!AE676,OFFSET(Spells!AP$2,Build!AE676,0),"")</f>
        <v/>
      </c>
      <c r="D64" s="491"/>
      <c r="E64" s="491"/>
      <c r="F64" s="491"/>
      <c r="G64" s="491"/>
      <c r="H64" s="491"/>
      <c r="I64" s="491"/>
      <c r="J64" s="491"/>
      <c r="K64" s="491"/>
      <c r="L64" s="492" t="str">
        <f aca="true">IF(Build!AE676,OFFSET(Spells!AQ$2,Build!AE676,0),"")</f>
        <v/>
      </c>
      <c r="M64" s="492"/>
      <c r="N64" s="492" t="str">
        <f aca="true">IF(Build!AE676,OFFSET(Spells!AR$2,Build!AE676,0),"")</f>
        <v/>
      </c>
      <c r="O64" s="492"/>
      <c r="P64" s="492" t="str">
        <f aca="true">IF(Build!AE676,OFFSET(Spells!AS$2,Build!AE676,0),"")</f>
        <v/>
      </c>
      <c r="Q64" s="492"/>
      <c r="R64" s="492" t="str">
        <f aca="true">IF(Build!AE676,OFFSET(Spells!AT$2,Build!AE676,0),"")</f>
        <v/>
      </c>
      <c r="S64" s="492"/>
      <c r="T64" s="492" t="str">
        <f aca="true">IF(Build!AE676,OFFSET(Spells!AU$2,Build!AE676,0),"")</f>
        <v/>
      </c>
      <c r="U64" s="492"/>
      <c r="V64" s="492"/>
      <c r="W64" s="492" t="str">
        <f aca="true">IF(Build!AE676,OFFSET(Spells!AW$2,Build!AE676,0),"")</f>
        <v/>
      </c>
      <c r="X64" s="492"/>
      <c r="Y64" s="492"/>
      <c r="Z64" s="507" t="str">
        <f aca="false">Build!AK676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IF(Build!AE676,OFFSET(Spells!AX$2,Build!AE676,0),"")</f>
        <v/>
      </c>
      <c r="AL64" s="484"/>
      <c r="AM64" s="484"/>
    </row>
    <row r="65" customFormat="false" ht="11.1" hidden="false" customHeight="true" outlineLevel="0" collapsed="false">
      <c r="A65" s="389"/>
      <c r="B65" s="389"/>
      <c r="C65" s="491" t="str">
        <f aca="true">IF(Build!AE677,OFFSET(Spells!AP$2,Build!AE677,0),"")</f>
        <v/>
      </c>
      <c r="D65" s="491"/>
      <c r="E65" s="491"/>
      <c r="F65" s="491"/>
      <c r="G65" s="491"/>
      <c r="H65" s="491"/>
      <c r="I65" s="491"/>
      <c r="J65" s="491"/>
      <c r="K65" s="491"/>
      <c r="L65" s="492" t="str">
        <f aca="true">IF(Build!AE677,OFFSET(Spells!AQ$2,Build!AE677,0),"")</f>
        <v/>
      </c>
      <c r="M65" s="492"/>
      <c r="N65" s="492" t="str">
        <f aca="true">IF(Build!AE677,OFFSET(Spells!AR$2,Build!AE677,0),"")</f>
        <v/>
      </c>
      <c r="O65" s="492"/>
      <c r="P65" s="492" t="str">
        <f aca="true">IF(Build!AE677,OFFSET(Spells!AS$2,Build!AE677,0),"")</f>
        <v/>
      </c>
      <c r="Q65" s="492"/>
      <c r="R65" s="492" t="str">
        <f aca="true">IF(Build!AE677,OFFSET(Spells!AT$2,Build!AE677,0),"")</f>
        <v/>
      </c>
      <c r="S65" s="492"/>
      <c r="T65" s="492" t="str">
        <f aca="true">IF(Build!AE677,OFFSET(Spells!AU$2,Build!AE677,0),"")</f>
        <v/>
      </c>
      <c r="U65" s="492"/>
      <c r="V65" s="492"/>
      <c r="W65" s="492" t="str">
        <f aca="true">IF(Build!AE677,OFFSET(Spells!AW$2,Build!AE677,0),"")</f>
        <v/>
      </c>
      <c r="X65" s="492"/>
      <c r="Y65" s="492"/>
      <c r="Z65" s="507" t="str">
        <f aca="false">Build!AK677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IF(Build!AE677,OFFSET(Spells!AX$2,Build!AE677,0),"")</f>
        <v/>
      </c>
      <c r="AL65" s="484"/>
      <c r="AM65" s="484"/>
    </row>
    <row r="66" customFormat="false" ht="11.1" hidden="false" customHeight="true" outlineLevel="0" collapsed="false">
      <c r="A66" s="389"/>
      <c r="B66" s="389"/>
      <c r="C66" s="491" t="str">
        <f aca="true">IF(Build!AE678,OFFSET(Spells!AP$2,Build!AE678,0),"")</f>
        <v/>
      </c>
      <c r="D66" s="491"/>
      <c r="E66" s="491"/>
      <c r="F66" s="491"/>
      <c r="G66" s="491"/>
      <c r="H66" s="491"/>
      <c r="I66" s="491"/>
      <c r="J66" s="491"/>
      <c r="K66" s="491"/>
      <c r="L66" s="492" t="str">
        <f aca="true">IF(Build!AE678,OFFSET(Spells!AQ$2,Build!AE678,0),"")</f>
        <v/>
      </c>
      <c r="M66" s="492"/>
      <c r="N66" s="492" t="str">
        <f aca="true">IF(Build!AE678,OFFSET(Spells!AR$2,Build!AE678,0),"")</f>
        <v/>
      </c>
      <c r="O66" s="492"/>
      <c r="P66" s="492" t="str">
        <f aca="true">IF(Build!AE678,OFFSET(Spells!AS$2,Build!AE678,0),"")</f>
        <v/>
      </c>
      <c r="Q66" s="492"/>
      <c r="R66" s="492" t="str">
        <f aca="true">IF(Build!AE678,OFFSET(Spells!AT$2,Build!AE678,0),"")</f>
        <v/>
      </c>
      <c r="S66" s="492"/>
      <c r="T66" s="492" t="str">
        <f aca="true">IF(Build!AE678,OFFSET(Spells!AU$2,Build!AE678,0),"")</f>
        <v/>
      </c>
      <c r="U66" s="492"/>
      <c r="V66" s="492"/>
      <c r="W66" s="492" t="str">
        <f aca="true">IF(Build!AE678,OFFSET(Spells!AW$2,Build!AE678,0),"")</f>
        <v/>
      </c>
      <c r="X66" s="492"/>
      <c r="Y66" s="492"/>
      <c r="Z66" s="507" t="str">
        <f aca="false">Build!AK678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484" t="str">
        <f aca="true">IF(Build!AE678,OFFSET(Spells!AX$2,Build!AE678,0),"")</f>
        <v/>
      </c>
      <c r="AL66" s="484"/>
      <c r="AM66" s="484"/>
    </row>
    <row r="67" customFormat="false" ht="11.1" hidden="false" customHeight="true" outlineLevel="0" collapsed="false">
      <c r="A67" s="520"/>
      <c r="B67" s="520"/>
      <c r="C67" s="491" t="str">
        <f aca="true">IF(Build!AE679,OFFSET(Spells!AP$2,Build!AE679,0),"")</f>
        <v/>
      </c>
      <c r="D67" s="491"/>
      <c r="E67" s="491"/>
      <c r="F67" s="491"/>
      <c r="G67" s="491"/>
      <c r="H67" s="491"/>
      <c r="I67" s="491"/>
      <c r="J67" s="491"/>
      <c r="K67" s="491"/>
      <c r="L67" s="492" t="str">
        <f aca="true">IF(Build!AE679,OFFSET(Spells!AQ$2,Build!AE679,0),"")</f>
        <v/>
      </c>
      <c r="M67" s="492"/>
      <c r="N67" s="492" t="str">
        <f aca="true">IF(Build!AE679,OFFSET(Spells!AR$2,Build!AE679,0),"")</f>
        <v/>
      </c>
      <c r="O67" s="492"/>
      <c r="P67" s="492" t="str">
        <f aca="true">IF(Build!AE679,OFFSET(Spells!AS$2,Build!AE679,0),"")</f>
        <v/>
      </c>
      <c r="Q67" s="492"/>
      <c r="R67" s="492" t="str">
        <f aca="true">IF(Build!AE679,OFFSET(Spells!AT$2,Build!AE679,0),"")</f>
        <v/>
      </c>
      <c r="S67" s="492"/>
      <c r="T67" s="492" t="str">
        <f aca="true">IF(Build!AE679,OFFSET(Spells!AU$2,Build!AE679,0),"")</f>
        <v/>
      </c>
      <c r="U67" s="492"/>
      <c r="V67" s="492"/>
      <c r="W67" s="492" t="str">
        <f aca="true">IF(Build!AE679,OFFSET(Spells!AW$2,Build!AE679,0),"")</f>
        <v/>
      </c>
      <c r="X67" s="492"/>
      <c r="Y67" s="492"/>
      <c r="Z67" s="507" t="str">
        <f aca="false">Build!AK679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484" t="str">
        <f aca="true">IF(Build!AE679,OFFSET(Spells!AX$2,Build!AE679,0),"")</f>
        <v/>
      </c>
      <c r="AL67" s="484"/>
      <c r="AM67" s="484"/>
    </row>
    <row r="68" customFormat="false" ht="11.1" hidden="false" customHeight="true" outlineLevel="0" collapsed="false">
      <c r="A68" s="498"/>
      <c r="B68" s="498"/>
      <c r="C68" s="491" t="str">
        <f aca="true">IF(Build!AE680,OFFSET(Spells!AP$2,Build!AE680,0),"")</f>
        <v/>
      </c>
      <c r="D68" s="491"/>
      <c r="E68" s="491"/>
      <c r="F68" s="491"/>
      <c r="G68" s="491"/>
      <c r="H68" s="491"/>
      <c r="I68" s="491"/>
      <c r="J68" s="491"/>
      <c r="K68" s="491"/>
      <c r="L68" s="492" t="str">
        <f aca="true">IF(Build!AE680,OFFSET(Spells!AQ$2,Build!AE680,0),"")</f>
        <v/>
      </c>
      <c r="M68" s="492"/>
      <c r="N68" s="492" t="str">
        <f aca="true">IF(Build!AE680,OFFSET(Spells!AR$2,Build!AE680,0),"")</f>
        <v/>
      </c>
      <c r="O68" s="492"/>
      <c r="P68" s="492" t="str">
        <f aca="true">IF(Build!AE680,OFFSET(Spells!AS$2,Build!AE680,0),"")</f>
        <v/>
      </c>
      <c r="Q68" s="492"/>
      <c r="R68" s="492" t="str">
        <f aca="true">IF(Build!AE680,OFFSET(Spells!AT$2,Build!AE680,0),"")</f>
        <v/>
      </c>
      <c r="S68" s="492"/>
      <c r="T68" s="492" t="str">
        <f aca="true">IF(Build!AE680,OFFSET(Spells!AU$2,Build!AE680,0),"")</f>
        <v/>
      </c>
      <c r="U68" s="492"/>
      <c r="V68" s="492"/>
      <c r="W68" s="492" t="str">
        <f aca="true">IF(Build!AE680,OFFSET(Spells!AW$2,Build!AE680,0),"")</f>
        <v/>
      </c>
      <c r="X68" s="492"/>
      <c r="Y68" s="492"/>
      <c r="Z68" s="507" t="str">
        <f aca="false">Build!AK680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484" t="str">
        <f aca="true">IF(Build!AE680,OFFSET(Spells!AX$2,Build!AE680,0),"")</f>
        <v/>
      </c>
      <c r="AL68" s="484"/>
      <c r="AM68" s="48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C5" activeCellId="0" sqref="AC5"/>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1194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1077</v>
      </c>
      <c r="B4" s="486"/>
      <c r="C4" s="487" t="s">
        <v>1179</v>
      </c>
      <c r="D4" s="487"/>
      <c r="E4" s="487"/>
      <c r="F4" s="487"/>
      <c r="G4" s="487"/>
      <c r="H4" s="487"/>
      <c r="I4" s="487"/>
      <c r="J4" s="487"/>
      <c r="K4" s="487"/>
      <c r="L4" s="488" t="s">
        <v>1180</v>
      </c>
      <c r="M4" s="488"/>
      <c r="N4" s="488" t="s">
        <v>1181</v>
      </c>
      <c r="O4" s="488"/>
      <c r="P4" s="489" t="s">
        <v>1182</v>
      </c>
      <c r="Q4" s="489"/>
      <c r="R4" s="489" t="s">
        <v>1183</v>
      </c>
      <c r="S4" s="489"/>
      <c r="T4" s="488" t="s">
        <v>338</v>
      </c>
      <c r="U4" s="488"/>
      <c r="V4" s="488"/>
      <c r="W4" s="488" t="s">
        <v>1184</v>
      </c>
      <c r="X4" s="488"/>
      <c r="Y4" s="488"/>
      <c r="Z4" s="488" t="s">
        <v>877</v>
      </c>
      <c r="AA4" s="488"/>
      <c r="AB4" s="488"/>
      <c r="AC4" s="488" t="s">
        <v>341</v>
      </c>
      <c r="AD4" s="488"/>
      <c r="AE4" s="488" t="s">
        <v>979</v>
      </c>
      <c r="AF4" s="488"/>
      <c r="AG4" s="488"/>
      <c r="AH4" s="488"/>
      <c r="AI4" s="488"/>
      <c r="AJ4" s="488"/>
      <c r="AK4" s="490" t="s">
        <v>1185</v>
      </c>
      <c r="AL4" s="490"/>
      <c r="AM4" s="490"/>
    </row>
    <row r="5" customFormat="false" ht="11.1" hidden="false" customHeight="true" outlineLevel="0" collapsed="false">
      <c r="A5" s="389"/>
      <c r="B5" s="389"/>
      <c r="C5" s="491" t="str">
        <f aca="true">IF(Build!AF617,OFFSET(Spells!B$2,Build!AF617,0),"")</f>
        <v/>
      </c>
      <c r="D5" s="491"/>
      <c r="E5" s="491"/>
      <c r="F5" s="491"/>
      <c r="G5" s="491"/>
      <c r="H5" s="491"/>
      <c r="I5" s="491"/>
      <c r="J5" s="491"/>
      <c r="K5" s="491"/>
      <c r="L5" s="492" t="str">
        <f aca="true">IF(Build!AF617,OFFSET(Spells!C$2,Build!AF617,0),"")</f>
        <v/>
      </c>
      <c r="M5" s="492"/>
      <c r="N5" s="492" t="str">
        <f aca="true">IF(Build!AF617,OFFSET(Spells!D$2,Build!AF617,0),"")</f>
        <v/>
      </c>
      <c r="O5" s="492"/>
      <c r="P5" s="492" t="str">
        <f aca="true">IF(Build!AF617,OFFSET(Spells!E$2,Build!AF617,0),"")</f>
        <v/>
      </c>
      <c r="Q5" s="492"/>
      <c r="R5" s="492" t="str">
        <f aca="true">IF(Build!AF617,OFFSET(Spells!F$2,Build!AF617,0),"")</f>
        <v/>
      </c>
      <c r="S5" s="492"/>
      <c r="T5" s="492" t="str">
        <f aca="true">IF(Build!AF617,OFFSET(Spells!G$2,Build!AF617,0),"")</f>
        <v/>
      </c>
      <c r="U5" s="492"/>
      <c r="V5" s="492"/>
      <c r="W5" s="492" t="str">
        <f aca="true">IF(Build!AF617,OFFSET(Spells!I$2,Build!AF617,0),"")</f>
        <v/>
      </c>
      <c r="X5" s="492"/>
      <c r="Y5" s="492"/>
      <c r="Z5" s="507" t="str">
        <f aca="false">Build!AL617</f>
        <v>Effect</v>
      </c>
      <c r="AA5" s="507"/>
      <c r="AB5" s="507"/>
      <c r="AC5" s="495"/>
      <c r="AD5" s="495"/>
      <c r="AE5" s="496" t="str">
        <f aca="true">IF(AC5&lt;&gt;"",OFFSET(ActionDice,AC5,0),"")</f>
        <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IF(Build!AF618,OFFSET(Spells!B$2,Build!AF618,0),"")</f>
        <v/>
      </c>
      <c r="D6" s="491"/>
      <c r="E6" s="491"/>
      <c r="F6" s="491"/>
      <c r="G6" s="491"/>
      <c r="H6" s="491"/>
      <c r="I6" s="491"/>
      <c r="J6" s="491"/>
      <c r="K6" s="491"/>
      <c r="L6" s="492" t="str">
        <f aca="true">IF(Build!AF618,OFFSET(Spells!C$2,Build!AF618,0),"")</f>
        <v/>
      </c>
      <c r="M6" s="492"/>
      <c r="N6" s="492" t="str">
        <f aca="true">IF(Build!AF618,OFFSET(Spells!D$2,Build!AF618,0),"")</f>
        <v/>
      </c>
      <c r="O6" s="492"/>
      <c r="P6" s="492" t="str">
        <f aca="true">IF(Build!AF618,OFFSET(Spells!E$2,Build!AF618,0),"")</f>
        <v/>
      </c>
      <c r="Q6" s="492"/>
      <c r="R6" s="492" t="str">
        <f aca="true">IF(Build!AF618,OFFSET(Spells!F$2,Build!AF618,0),"")</f>
        <v/>
      </c>
      <c r="S6" s="492"/>
      <c r="T6" s="492" t="str">
        <f aca="true">IF(Build!AF618,OFFSET(Spells!G$2,Build!AF618,0),"")</f>
        <v/>
      </c>
      <c r="U6" s="492"/>
      <c r="V6" s="492"/>
      <c r="W6" s="492" t="str">
        <f aca="true">IF(Build!AF618,OFFSET(Spells!I$2,Build!AF618,0),"")</f>
        <v/>
      </c>
      <c r="X6" s="492"/>
      <c r="Y6" s="492"/>
      <c r="Z6" s="507" t="str">
        <f aca="false">Build!AL618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IF(Build!AF619,OFFSET(Spells!B$2,Build!AF619,0),"")</f>
        <v/>
      </c>
      <c r="D7" s="491"/>
      <c r="E7" s="491"/>
      <c r="F7" s="491"/>
      <c r="G7" s="491"/>
      <c r="H7" s="491"/>
      <c r="I7" s="491"/>
      <c r="J7" s="491"/>
      <c r="K7" s="491"/>
      <c r="L7" s="492" t="str">
        <f aca="true">IF(Build!AF619,OFFSET(Spells!C$2,Build!AF619,0),"")</f>
        <v/>
      </c>
      <c r="M7" s="492"/>
      <c r="N7" s="492" t="str">
        <f aca="true">IF(Build!AF619,OFFSET(Spells!D$2,Build!AF619,0),"")</f>
        <v/>
      </c>
      <c r="O7" s="492"/>
      <c r="P7" s="492" t="str">
        <f aca="true">IF(Build!AF619,OFFSET(Spells!E$2,Build!AF619,0),"")</f>
        <v/>
      </c>
      <c r="Q7" s="492"/>
      <c r="R7" s="492" t="str">
        <f aca="true">IF(Build!AF619,OFFSET(Spells!F$2,Build!AF619,0),"")</f>
        <v/>
      </c>
      <c r="S7" s="492"/>
      <c r="T7" s="492" t="str">
        <f aca="true">IF(Build!AF619,OFFSET(Spells!G$2,Build!AF619,0),"")</f>
        <v/>
      </c>
      <c r="U7" s="492"/>
      <c r="V7" s="492"/>
      <c r="W7" s="492" t="str">
        <f aca="true">IF(Build!AF619,OFFSET(Spells!I$2,Build!AF619,0),"")</f>
        <v/>
      </c>
      <c r="X7" s="492"/>
      <c r="Y7" s="492"/>
      <c r="Z7" s="507" t="str">
        <f aca="false">Build!AL619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IF(Build!AF620,OFFSET(Spells!B$2,Build!AF620,0),"")</f>
        <v/>
      </c>
      <c r="D8" s="491"/>
      <c r="E8" s="491"/>
      <c r="F8" s="491"/>
      <c r="G8" s="491"/>
      <c r="H8" s="491"/>
      <c r="I8" s="491"/>
      <c r="J8" s="491"/>
      <c r="K8" s="491"/>
      <c r="L8" s="492" t="str">
        <f aca="true">IF(Build!AF620,OFFSET(Spells!C$2,Build!AF620,0),"")</f>
        <v/>
      </c>
      <c r="M8" s="492"/>
      <c r="N8" s="492" t="str">
        <f aca="true">IF(Build!AF620,OFFSET(Spells!D$2,Build!AF620,0),"")</f>
        <v/>
      </c>
      <c r="O8" s="492"/>
      <c r="P8" s="492" t="str">
        <f aca="true">IF(Build!AF620,OFFSET(Spells!E$2,Build!AF620,0),"")</f>
        <v/>
      </c>
      <c r="Q8" s="492"/>
      <c r="R8" s="492" t="str">
        <f aca="true">IF(Build!AF620,OFFSET(Spells!F$2,Build!AF620,0),"")</f>
        <v/>
      </c>
      <c r="S8" s="492"/>
      <c r="T8" s="492" t="str">
        <f aca="true">IF(Build!AF620,OFFSET(Spells!G$2,Build!AF620,0),"")</f>
        <v/>
      </c>
      <c r="U8" s="492"/>
      <c r="V8" s="492"/>
      <c r="W8" s="492" t="str">
        <f aca="true">IF(Build!AF620,OFFSET(Spells!I$2,Build!AF620,0),"")</f>
        <v/>
      </c>
      <c r="X8" s="492"/>
      <c r="Y8" s="492"/>
      <c r="Z8" s="507" t="str">
        <f aca="false">Build!AL620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IF(Build!AF621,OFFSET(Spells!B$2,Build!AF621,0),"")</f>
        <v/>
      </c>
      <c r="D9" s="491"/>
      <c r="E9" s="491"/>
      <c r="F9" s="491"/>
      <c r="G9" s="491"/>
      <c r="H9" s="491"/>
      <c r="I9" s="491"/>
      <c r="J9" s="491"/>
      <c r="K9" s="491"/>
      <c r="L9" s="492" t="str">
        <f aca="true">IF(Build!AF621,OFFSET(Spells!C$2,Build!AF621,0),"")</f>
        <v/>
      </c>
      <c r="M9" s="492"/>
      <c r="N9" s="492" t="str">
        <f aca="true">IF(Build!AF621,OFFSET(Spells!D$2,Build!AF621,0),"")</f>
        <v/>
      </c>
      <c r="O9" s="492"/>
      <c r="P9" s="492" t="str">
        <f aca="true">IF(Build!AF621,OFFSET(Spells!E$2,Build!AF621,0),"")</f>
        <v/>
      </c>
      <c r="Q9" s="492"/>
      <c r="R9" s="492" t="str">
        <f aca="true">IF(Build!AF621,OFFSET(Spells!F$2,Build!AF621,0),"")</f>
        <v/>
      </c>
      <c r="S9" s="492"/>
      <c r="T9" s="492" t="str">
        <f aca="true">IF(Build!AF621,OFFSET(Spells!G$2,Build!AF621,0),"")</f>
        <v/>
      </c>
      <c r="U9" s="492"/>
      <c r="V9" s="492"/>
      <c r="W9" s="492" t="str">
        <f aca="true">IF(Build!AF621,OFFSET(Spells!I$2,Build!AF621,0),"")</f>
        <v/>
      </c>
      <c r="X9" s="492"/>
      <c r="Y9" s="492"/>
      <c r="Z9" s="507" t="str">
        <f aca="false">Build!AL621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IF(Build!AF622,OFFSET(Spells!B$2,Build!AF622,0),"")</f>
        <v/>
      </c>
      <c r="D10" s="491"/>
      <c r="E10" s="491"/>
      <c r="F10" s="491"/>
      <c r="G10" s="491"/>
      <c r="H10" s="491"/>
      <c r="I10" s="491"/>
      <c r="J10" s="491"/>
      <c r="K10" s="491"/>
      <c r="L10" s="492" t="str">
        <f aca="true">IF(Build!AF622,OFFSET(Spells!C$2,Build!AF622,0),"")</f>
        <v/>
      </c>
      <c r="M10" s="492"/>
      <c r="N10" s="492" t="str">
        <f aca="true">IF(Build!AF622,OFFSET(Spells!D$2,Build!AF622,0),"")</f>
        <v/>
      </c>
      <c r="O10" s="492"/>
      <c r="P10" s="492" t="str">
        <f aca="true">IF(Build!AF622,OFFSET(Spells!E$2,Build!AF622,0),"")</f>
        <v/>
      </c>
      <c r="Q10" s="492"/>
      <c r="R10" s="492" t="str">
        <f aca="true">IF(Build!AF622,OFFSET(Spells!F$2,Build!AF622,0),"")</f>
        <v/>
      </c>
      <c r="S10" s="492"/>
      <c r="T10" s="492" t="str">
        <f aca="true">IF(Build!AF622,OFFSET(Spells!G$2,Build!AF622,0),"")</f>
        <v/>
      </c>
      <c r="U10" s="492"/>
      <c r="V10" s="492"/>
      <c r="W10" s="492" t="str">
        <f aca="true">IF(Build!AF622,OFFSET(Spells!I$2,Build!AF622,0),"")</f>
        <v/>
      </c>
      <c r="X10" s="492"/>
      <c r="Y10" s="492"/>
      <c r="Z10" s="507" t="str">
        <f aca="false">Build!AL622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IF(Build!AF623,OFFSET(Spells!B$2,Build!AF623,0),"")</f>
        <v/>
      </c>
      <c r="D11" s="491"/>
      <c r="E11" s="491"/>
      <c r="F11" s="491"/>
      <c r="G11" s="491"/>
      <c r="H11" s="491"/>
      <c r="I11" s="491"/>
      <c r="J11" s="491"/>
      <c r="K11" s="491"/>
      <c r="L11" s="492" t="str">
        <f aca="true">IF(Build!AF623,OFFSET(Spells!C$2,Build!AF623,0),"")</f>
        <v/>
      </c>
      <c r="M11" s="492"/>
      <c r="N11" s="492" t="str">
        <f aca="true">IF(Build!AF623,OFFSET(Spells!D$2,Build!AF623,0),"")</f>
        <v/>
      </c>
      <c r="O11" s="492"/>
      <c r="P11" s="492" t="str">
        <f aca="true">IF(Build!AF623,OFFSET(Spells!E$2,Build!AF623,0),"")</f>
        <v/>
      </c>
      <c r="Q11" s="492"/>
      <c r="R11" s="492" t="str">
        <f aca="true">IF(Build!AF623,OFFSET(Spells!F$2,Build!AF623,0),"")</f>
        <v/>
      </c>
      <c r="S11" s="492"/>
      <c r="T11" s="492" t="str">
        <f aca="true">IF(Build!AF623,OFFSET(Spells!G$2,Build!AF623,0),"")</f>
        <v/>
      </c>
      <c r="U11" s="492"/>
      <c r="V11" s="492"/>
      <c r="W11" s="492" t="str">
        <f aca="true">IF(Build!AF623,OFFSET(Spells!I$2,Build!AF623,0),"")</f>
        <v/>
      </c>
      <c r="X11" s="492"/>
      <c r="Y11" s="492"/>
      <c r="Z11" s="507" t="str">
        <f aca="false">Build!AL623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IF(Build!AF624,OFFSET(Spells!B$2,Build!AF624,0),"")</f>
        <v/>
      </c>
      <c r="D12" s="491"/>
      <c r="E12" s="491"/>
      <c r="F12" s="491"/>
      <c r="G12" s="491"/>
      <c r="H12" s="491"/>
      <c r="I12" s="491"/>
      <c r="J12" s="491"/>
      <c r="K12" s="491"/>
      <c r="L12" s="492" t="str">
        <f aca="true">IF(Build!AF624,OFFSET(Spells!C$2,Build!AF624,0),"")</f>
        <v/>
      </c>
      <c r="M12" s="492"/>
      <c r="N12" s="492" t="str">
        <f aca="true">IF(Build!AF624,OFFSET(Spells!D$2,Build!AF624,0),"")</f>
        <v/>
      </c>
      <c r="O12" s="492"/>
      <c r="P12" s="492" t="str">
        <f aca="true">IF(Build!AF624,OFFSET(Spells!E$2,Build!AF624,0),"")</f>
        <v/>
      </c>
      <c r="Q12" s="492"/>
      <c r="R12" s="492" t="str">
        <f aca="true">IF(Build!AF624,OFFSET(Spells!F$2,Build!AF624,0),"")</f>
        <v/>
      </c>
      <c r="S12" s="492"/>
      <c r="T12" s="492" t="str">
        <f aca="true">IF(Build!AF624,OFFSET(Spells!G$2,Build!AF624,0),"")</f>
        <v/>
      </c>
      <c r="U12" s="492"/>
      <c r="V12" s="492"/>
      <c r="W12" s="492" t="str">
        <f aca="true">IF(Build!AF624,OFFSET(Spells!I$2,Build!AF624,0),"")</f>
        <v/>
      </c>
      <c r="X12" s="492"/>
      <c r="Y12" s="492"/>
      <c r="Z12" s="507" t="str">
        <f aca="false">Build!AL624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IF(Build!AF625,OFFSET(Spells!B$2,Build!AF625,0),"")</f>
        <v/>
      </c>
      <c r="D13" s="491"/>
      <c r="E13" s="491"/>
      <c r="F13" s="491"/>
      <c r="G13" s="491"/>
      <c r="H13" s="491"/>
      <c r="I13" s="491"/>
      <c r="J13" s="491"/>
      <c r="K13" s="491"/>
      <c r="L13" s="492" t="str">
        <f aca="true">IF(Build!AF625,OFFSET(Spells!C$2,Build!AF625,0),"")</f>
        <v/>
      </c>
      <c r="M13" s="492"/>
      <c r="N13" s="492" t="str">
        <f aca="true">IF(Build!AF625,OFFSET(Spells!D$2,Build!AF625,0),"")</f>
        <v/>
      </c>
      <c r="O13" s="492"/>
      <c r="P13" s="492" t="str">
        <f aca="true">IF(Build!AF625,OFFSET(Spells!E$2,Build!AF625,0),"")</f>
        <v/>
      </c>
      <c r="Q13" s="492"/>
      <c r="R13" s="492" t="str">
        <f aca="true">IF(Build!AF625,OFFSET(Spells!F$2,Build!AF625,0),"")</f>
        <v/>
      </c>
      <c r="S13" s="492"/>
      <c r="T13" s="492" t="str">
        <f aca="true">IF(Build!AF625,OFFSET(Spells!G$2,Build!AF625,0),"")</f>
        <v/>
      </c>
      <c r="U13" s="492"/>
      <c r="V13" s="492"/>
      <c r="W13" s="492" t="str">
        <f aca="true">IF(Build!AF625,OFFSET(Spells!I$2,Build!AF625,0),"")</f>
        <v/>
      </c>
      <c r="X13" s="492"/>
      <c r="Y13" s="492"/>
      <c r="Z13" s="507" t="str">
        <f aca="false">Build!AL625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IF(Build!AF626,OFFSET(Spells!B$2,Build!AF626,0),"")</f>
        <v/>
      </c>
      <c r="D14" s="491"/>
      <c r="E14" s="491"/>
      <c r="F14" s="491"/>
      <c r="G14" s="491"/>
      <c r="H14" s="491"/>
      <c r="I14" s="491"/>
      <c r="J14" s="491"/>
      <c r="K14" s="491"/>
      <c r="L14" s="492" t="str">
        <f aca="true">IF(Build!AF626,OFFSET(Spells!C$2,Build!AF626,0),"")</f>
        <v/>
      </c>
      <c r="M14" s="492"/>
      <c r="N14" s="492" t="str">
        <f aca="true">IF(Build!AF626,OFFSET(Spells!D$2,Build!AF626,0),"")</f>
        <v/>
      </c>
      <c r="O14" s="492"/>
      <c r="P14" s="492" t="str">
        <f aca="true">IF(Build!AF626,OFFSET(Spells!E$2,Build!AF626,0),"")</f>
        <v/>
      </c>
      <c r="Q14" s="492"/>
      <c r="R14" s="492" t="str">
        <f aca="true">IF(Build!AF626,OFFSET(Spells!F$2,Build!AF626,0),"")</f>
        <v/>
      </c>
      <c r="S14" s="492"/>
      <c r="T14" s="492" t="str">
        <f aca="true">IF(Build!AF626,OFFSET(Spells!G$2,Build!AF626,0),"")</f>
        <v/>
      </c>
      <c r="U14" s="492"/>
      <c r="V14" s="492"/>
      <c r="W14" s="492" t="str">
        <f aca="true">IF(Build!AF626,OFFSET(Spells!I$2,Build!AF626,0),"")</f>
        <v/>
      </c>
      <c r="X14" s="492"/>
      <c r="Y14" s="492"/>
      <c r="Z14" s="507" t="str">
        <f aca="false">Build!AL626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IF(Build!AF627,OFFSET(Spells!B$2,Build!AF627,0),"")</f>
        <v/>
      </c>
      <c r="D15" s="491"/>
      <c r="E15" s="491"/>
      <c r="F15" s="491"/>
      <c r="G15" s="491"/>
      <c r="H15" s="491"/>
      <c r="I15" s="491"/>
      <c r="J15" s="491"/>
      <c r="K15" s="491"/>
      <c r="L15" s="492" t="str">
        <f aca="true">IF(Build!AF627,OFFSET(Spells!C$2,Build!AF627,0),"")</f>
        <v/>
      </c>
      <c r="M15" s="492"/>
      <c r="N15" s="492" t="str">
        <f aca="true">IF(Build!AF627,OFFSET(Spells!D$2,Build!AF627,0),"")</f>
        <v/>
      </c>
      <c r="O15" s="492"/>
      <c r="P15" s="492" t="str">
        <f aca="true">IF(Build!AF627,OFFSET(Spells!E$2,Build!AF627,0),"")</f>
        <v/>
      </c>
      <c r="Q15" s="492"/>
      <c r="R15" s="492" t="str">
        <f aca="true">IF(Build!AF627,OFFSET(Spells!F$2,Build!AF627,0),"")</f>
        <v/>
      </c>
      <c r="S15" s="492"/>
      <c r="T15" s="492" t="str">
        <f aca="true">IF(Build!AF627,OFFSET(Spells!G$2,Build!AF627,0),"")</f>
        <v/>
      </c>
      <c r="U15" s="492"/>
      <c r="V15" s="492"/>
      <c r="W15" s="492" t="str">
        <f aca="true">IF(Build!AF627,OFFSET(Spells!I$2,Build!AF627,0),"")</f>
        <v/>
      </c>
      <c r="X15" s="492"/>
      <c r="Y15" s="492"/>
      <c r="Z15" s="507" t="str">
        <f aca="false">Build!AL627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IF(Build!AF628,OFFSET(Spells!B$2,Build!AF628,0),"")</f>
        <v/>
      </c>
      <c r="D16" s="491"/>
      <c r="E16" s="491"/>
      <c r="F16" s="491"/>
      <c r="G16" s="491"/>
      <c r="H16" s="491"/>
      <c r="I16" s="491"/>
      <c r="J16" s="491"/>
      <c r="K16" s="491"/>
      <c r="L16" s="492" t="str">
        <f aca="true">IF(Build!AF628,OFFSET(Spells!C$2,Build!AF628,0),"")</f>
        <v/>
      </c>
      <c r="M16" s="492"/>
      <c r="N16" s="492" t="str">
        <f aca="true">IF(Build!AF628,OFFSET(Spells!D$2,Build!AF628,0),"")</f>
        <v/>
      </c>
      <c r="O16" s="492"/>
      <c r="P16" s="492" t="str">
        <f aca="true">IF(Build!AF628,OFFSET(Spells!E$2,Build!AF628,0),"")</f>
        <v/>
      </c>
      <c r="Q16" s="492"/>
      <c r="R16" s="492" t="str">
        <f aca="true">IF(Build!AF628,OFFSET(Spells!F$2,Build!AF628,0),"")</f>
        <v/>
      </c>
      <c r="S16" s="492"/>
      <c r="T16" s="492" t="str">
        <f aca="true">IF(Build!AF628,OFFSET(Spells!G$2,Build!AF628,0),"")</f>
        <v/>
      </c>
      <c r="U16" s="492"/>
      <c r="V16" s="492"/>
      <c r="W16" s="492" t="str">
        <f aca="true">IF(Build!AF628,OFFSET(Spells!I$2,Build!AF628,0),"")</f>
        <v/>
      </c>
      <c r="X16" s="492"/>
      <c r="Y16" s="492"/>
      <c r="Z16" s="507" t="str">
        <f aca="false">Build!AL628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IF(Build!AF629,OFFSET(Spells!B$2,Build!AF629,0),"")</f>
        <v/>
      </c>
      <c r="D17" s="491"/>
      <c r="E17" s="491"/>
      <c r="F17" s="491"/>
      <c r="G17" s="491"/>
      <c r="H17" s="491"/>
      <c r="I17" s="491"/>
      <c r="J17" s="491"/>
      <c r="K17" s="491"/>
      <c r="L17" s="492" t="str">
        <f aca="true">IF(Build!AF629,OFFSET(Spells!C$2,Build!AF629,0),"")</f>
        <v/>
      </c>
      <c r="M17" s="492"/>
      <c r="N17" s="492" t="str">
        <f aca="true">IF(Build!AF629,OFFSET(Spells!D$2,Build!AF629,0),"")</f>
        <v/>
      </c>
      <c r="O17" s="492"/>
      <c r="P17" s="492" t="str">
        <f aca="true">IF(Build!AF629,OFFSET(Spells!E$2,Build!AF629,0),"")</f>
        <v/>
      </c>
      <c r="Q17" s="492"/>
      <c r="R17" s="492" t="str">
        <f aca="true">IF(Build!AF629,OFFSET(Spells!F$2,Build!AF629,0),"")</f>
        <v/>
      </c>
      <c r="S17" s="492"/>
      <c r="T17" s="492" t="str">
        <f aca="true">IF(Build!AF629,OFFSET(Spells!G$2,Build!AF629,0),"")</f>
        <v/>
      </c>
      <c r="U17" s="492"/>
      <c r="V17" s="492"/>
      <c r="W17" s="492" t="str">
        <f aca="true">IF(Build!AF629,OFFSET(Spells!I$2,Build!AF629,0),"")</f>
        <v/>
      </c>
      <c r="X17" s="492"/>
      <c r="Y17" s="492"/>
      <c r="Z17" s="507" t="str">
        <f aca="false">Build!AL629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IF(Build!AF630,OFFSET(Spells!B$2,Build!AF630,0),"")</f>
        <v/>
      </c>
      <c r="D18" s="491"/>
      <c r="E18" s="491"/>
      <c r="F18" s="491"/>
      <c r="G18" s="491"/>
      <c r="H18" s="491"/>
      <c r="I18" s="491"/>
      <c r="J18" s="491"/>
      <c r="K18" s="491"/>
      <c r="L18" s="492" t="str">
        <f aca="true">IF(Build!AF630,OFFSET(Spells!C$2,Build!AF630,0),"")</f>
        <v/>
      </c>
      <c r="M18" s="492"/>
      <c r="N18" s="492" t="str">
        <f aca="true">IF(Build!AF630,OFFSET(Spells!D$2,Build!AF630,0),"")</f>
        <v/>
      </c>
      <c r="O18" s="492"/>
      <c r="P18" s="492" t="str">
        <f aca="true">IF(Build!AF630,OFFSET(Spells!E$2,Build!AF630,0),"")</f>
        <v/>
      </c>
      <c r="Q18" s="492"/>
      <c r="R18" s="492" t="str">
        <f aca="true">IF(Build!AF630,OFFSET(Spells!F$2,Build!AF630,0),"")</f>
        <v/>
      </c>
      <c r="S18" s="492"/>
      <c r="T18" s="492" t="str">
        <f aca="true">IF(Build!AF630,OFFSET(Spells!G$2,Build!AF630,0),"")</f>
        <v/>
      </c>
      <c r="U18" s="492"/>
      <c r="V18" s="492"/>
      <c r="W18" s="492" t="str">
        <f aca="true">IF(Build!AF630,OFFSET(Spells!I$2,Build!AF630,0),"")</f>
        <v/>
      </c>
      <c r="X18" s="492"/>
      <c r="Y18" s="492"/>
      <c r="Z18" s="507" t="str">
        <f aca="false">Build!AL630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IF(Build!AF631,OFFSET(Spells!B$2,Build!AF631,0),"")</f>
        <v/>
      </c>
      <c r="D19" s="491"/>
      <c r="E19" s="491"/>
      <c r="F19" s="491"/>
      <c r="G19" s="491"/>
      <c r="H19" s="491"/>
      <c r="I19" s="491"/>
      <c r="J19" s="491"/>
      <c r="K19" s="491"/>
      <c r="L19" s="492" t="str">
        <f aca="true">IF(Build!AF631,OFFSET(Spells!C$2,Build!AF631,0),"")</f>
        <v/>
      </c>
      <c r="M19" s="492"/>
      <c r="N19" s="492" t="str">
        <f aca="true">IF(Build!AF631,OFFSET(Spells!D$2,Build!AF631,0),"")</f>
        <v/>
      </c>
      <c r="O19" s="492"/>
      <c r="P19" s="492" t="str">
        <f aca="true">IF(Build!AF631,OFFSET(Spells!E$2,Build!AF631,0),"")</f>
        <v/>
      </c>
      <c r="Q19" s="492"/>
      <c r="R19" s="492" t="str">
        <f aca="true">IF(Build!AF631,OFFSET(Spells!F$2,Build!AF631,0),"")</f>
        <v/>
      </c>
      <c r="S19" s="492"/>
      <c r="T19" s="492" t="str">
        <f aca="true">IF(Build!AF631,OFFSET(Spells!G$2,Build!AF631,0),"")</f>
        <v/>
      </c>
      <c r="U19" s="492"/>
      <c r="V19" s="492"/>
      <c r="W19" s="492" t="str">
        <f aca="true">IF(Build!AF631,OFFSET(Spells!I$2,Build!AF631,0),"")</f>
        <v/>
      </c>
      <c r="X19" s="492"/>
      <c r="Y19" s="492"/>
      <c r="Z19" s="507" t="str">
        <f aca="false">Build!AL631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IF(Build!AF632,OFFSET(Spells!B$2,Build!AF632,0),"")</f>
        <v/>
      </c>
      <c r="D20" s="491"/>
      <c r="E20" s="491"/>
      <c r="F20" s="491"/>
      <c r="G20" s="491"/>
      <c r="H20" s="491"/>
      <c r="I20" s="491"/>
      <c r="J20" s="491"/>
      <c r="K20" s="491"/>
      <c r="L20" s="492" t="str">
        <f aca="true">IF(Build!AF632,OFFSET(Spells!C$2,Build!AF632,0),"")</f>
        <v/>
      </c>
      <c r="M20" s="492"/>
      <c r="N20" s="492" t="str">
        <f aca="true">IF(Build!AF632,OFFSET(Spells!D$2,Build!AF632,0),"")</f>
        <v/>
      </c>
      <c r="O20" s="492"/>
      <c r="P20" s="492" t="str">
        <f aca="true">IF(Build!AF632,OFFSET(Spells!E$2,Build!AF632,0),"")</f>
        <v/>
      </c>
      <c r="Q20" s="492"/>
      <c r="R20" s="492" t="str">
        <f aca="true">IF(Build!AF632,OFFSET(Spells!F$2,Build!AF632,0),"")</f>
        <v/>
      </c>
      <c r="S20" s="492"/>
      <c r="T20" s="492" t="str">
        <f aca="true">IF(Build!AF632,OFFSET(Spells!G$2,Build!AF632,0),"")</f>
        <v/>
      </c>
      <c r="U20" s="492"/>
      <c r="V20" s="492"/>
      <c r="W20" s="492" t="str">
        <f aca="true">IF(Build!AF632,OFFSET(Spells!I$2,Build!AF632,0),"")</f>
        <v/>
      </c>
      <c r="X20" s="492"/>
      <c r="Y20" s="492"/>
      <c r="Z20" s="507" t="str">
        <f aca="false">Build!AL632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IF(Build!AF633,OFFSET(Spells!B$2,Build!AF633,0),"")</f>
        <v/>
      </c>
      <c r="D21" s="491"/>
      <c r="E21" s="491"/>
      <c r="F21" s="491"/>
      <c r="G21" s="491"/>
      <c r="H21" s="491"/>
      <c r="I21" s="491"/>
      <c r="J21" s="491"/>
      <c r="K21" s="491"/>
      <c r="L21" s="492" t="str">
        <f aca="true">IF(Build!AF633,OFFSET(Spells!C$2,Build!AF633,0),"")</f>
        <v/>
      </c>
      <c r="M21" s="492"/>
      <c r="N21" s="492" t="str">
        <f aca="true">IF(Build!AF633,OFFSET(Spells!D$2,Build!AF633,0),"")</f>
        <v/>
      </c>
      <c r="O21" s="492"/>
      <c r="P21" s="492" t="str">
        <f aca="true">IF(Build!AF633,OFFSET(Spells!E$2,Build!AF633,0),"")</f>
        <v/>
      </c>
      <c r="Q21" s="492"/>
      <c r="R21" s="492" t="str">
        <f aca="true">IF(Build!AF633,OFFSET(Spells!F$2,Build!AF633,0),"")</f>
        <v/>
      </c>
      <c r="S21" s="492"/>
      <c r="T21" s="492" t="str">
        <f aca="true">IF(Build!AF633,OFFSET(Spells!G$2,Build!AF633,0),"")</f>
        <v/>
      </c>
      <c r="U21" s="492"/>
      <c r="V21" s="492"/>
      <c r="W21" s="492" t="str">
        <f aca="true">IF(Build!AF633,OFFSET(Spells!I$2,Build!AF633,0),"")</f>
        <v/>
      </c>
      <c r="X21" s="492"/>
      <c r="Y21" s="492"/>
      <c r="Z21" s="507" t="str">
        <f aca="false">Build!AL633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IF(Build!AF634,OFFSET(Spells!B$2,Build!AF634,0),"")</f>
        <v/>
      </c>
      <c r="D22" s="491"/>
      <c r="E22" s="491"/>
      <c r="F22" s="491"/>
      <c r="G22" s="491"/>
      <c r="H22" s="491"/>
      <c r="I22" s="491"/>
      <c r="J22" s="491"/>
      <c r="K22" s="491"/>
      <c r="L22" s="492" t="str">
        <f aca="true">IF(Build!AF634,OFFSET(Spells!C$2,Build!AF634,0),"")</f>
        <v/>
      </c>
      <c r="M22" s="492"/>
      <c r="N22" s="492" t="str">
        <f aca="true">IF(Build!AF634,OFFSET(Spells!D$2,Build!AF634,0),"")</f>
        <v/>
      </c>
      <c r="O22" s="492"/>
      <c r="P22" s="492" t="str">
        <f aca="true">IF(Build!AF634,OFFSET(Spells!E$2,Build!AF634,0),"")</f>
        <v/>
      </c>
      <c r="Q22" s="492"/>
      <c r="R22" s="492" t="str">
        <f aca="true">IF(Build!AF634,OFFSET(Spells!F$2,Build!AF634,0),"")</f>
        <v/>
      </c>
      <c r="S22" s="492"/>
      <c r="T22" s="492" t="str">
        <f aca="true">IF(Build!AF634,OFFSET(Spells!G$2,Build!AF634,0),"")</f>
        <v/>
      </c>
      <c r="U22" s="492"/>
      <c r="V22" s="492"/>
      <c r="W22" s="492" t="str">
        <f aca="true">IF(Build!AF634,OFFSET(Spells!I$2,Build!AF634,0),"")</f>
        <v/>
      </c>
      <c r="X22" s="492"/>
      <c r="Y22" s="492"/>
      <c r="Z22" s="507" t="str">
        <f aca="false">Build!AL634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IF(Build!AF635,OFFSET(Spells!B$2,Build!AF635,0),"")</f>
        <v/>
      </c>
      <c r="D23" s="491"/>
      <c r="E23" s="491"/>
      <c r="F23" s="491"/>
      <c r="G23" s="491"/>
      <c r="H23" s="491"/>
      <c r="I23" s="491"/>
      <c r="J23" s="491"/>
      <c r="K23" s="491"/>
      <c r="L23" s="492" t="str">
        <f aca="true">IF(Build!AF635,OFFSET(Spells!C$2,Build!AF635,0),"")</f>
        <v/>
      </c>
      <c r="M23" s="492"/>
      <c r="N23" s="492" t="str">
        <f aca="true">IF(Build!AF635,OFFSET(Spells!D$2,Build!AF635,0),"")</f>
        <v/>
      </c>
      <c r="O23" s="492"/>
      <c r="P23" s="492" t="str">
        <f aca="true">IF(Build!AF635,OFFSET(Spells!E$2,Build!AF635,0),"")</f>
        <v/>
      </c>
      <c r="Q23" s="492"/>
      <c r="R23" s="492" t="str">
        <f aca="true">IF(Build!AF635,OFFSET(Spells!F$2,Build!AF635,0),"")</f>
        <v/>
      </c>
      <c r="S23" s="492"/>
      <c r="T23" s="492" t="str">
        <f aca="true">IF(Build!AF635,OFFSET(Spells!G$2,Build!AF635,0),"")</f>
        <v/>
      </c>
      <c r="U23" s="492"/>
      <c r="V23" s="492"/>
      <c r="W23" s="492" t="str">
        <f aca="true">IF(Build!AF635,OFFSET(Spells!I$2,Build!AF635,0),"")</f>
        <v/>
      </c>
      <c r="X23" s="492"/>
      <c r="Y23" s="492"/>
      <c r="Z23" s="507" t="str">
        <f aca="false">Build!AL635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IF(Build!AF636,OFFSET(Spells!B$2,Build!AF636,0),"")</f>
        <v/>
      </c>
      <c r="D24" s="491"/>
      <c r="E24" s="491"/>
      <c r="F24" s="491"/>
      <c r="G24" s="491"/>
      <c r="H24" s="491"/>
      <c r="I24" s="491"/>
      <c r="J24" s="491"/>
      <c r="K24" s="491"/>
      <c r="L24" s="492" t="str">
        <f aca="true">IF(Build!AF636,OFFSET(Spells!C$2,Build!AF636,0),"")</f>
        <v/>
      </c>
      <c r="M24" s="492"/>
      <c r="N24" s="492" t="str">
        <f aca="true">IF(Build!AF636,OFFSET(Spells!D$2,Build!AF636,0),"")</f>
        <v/>
      </c>
      <c r="O24" s="492"/>
      <c r="P24" s="492" t="str">
        <f aca="true">IF(Build!AF636,OFFSET(Spells!E$2,Build!AF636,0),"")</f>
        <v/>
      </c>
      <c r="Q24" s="492"/>
      <c r="R24" s="492" t="str">
        <f aca="true">IF(Build!AF636,OFFSET(Spells!F$2,Build!AF636,0),"")</f>
        <v/>
      </c>
      <c r="S24" s="492"/>
      <c r="T24" s="492" t="str">
        <f aca="true">IF(Build!AF636,OFFSET(Spells!G$2,Build!AF636,0),"")</f>
        <v/>
      </c>
      <c r="U24" s="492"/>
      <c r="V24" s="492"/>
      <c r="W24" s="492" t="str">
        <f aca="true">IF(Build!AF636,OFFSET(Spells!I$2,Build!AF636,0),"")</f>
        <v/>
      </c>
      <c r="X24" s="492"/>
      <c r="Y24" s="492"/>
      <c r="Z24" s="507" t="str">
        <f aca="false">Build!AL636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IF(Build!AF637,OFFSET(Spells!B$2,Build!AF637,0),"")</f>
        <v/>
      </c>
      <c r="D25" s="491"/>
      <c r="E25" s="491"/>
      <c r="F25" s="491"/>
      <c r="G25" s="491"/>
      <c r="H25" s="491"/>
      <c r="I25" s="491"/>
      <c r="J25" s="491"/>
      <c r="K25" s="491"/>
      <c r="L25" s="492" t="str">
        <f aca="true">IF(Build!AF637,OFFSET(Spells!C$2,Build!AF637,0),"")</f>
        <v/>
      </c>
      <c r="M25" s="492"/>
      <c r="N25" s="492" t="str">
        <f aca="true">IF(Build!AF637,OFFSET(Spells!D$2,Build!AF637,0),"")</f>
        <v/>
      </c>
      <c r="O25" s="492"/>
      <c r="P25" s="492" t="str">
        <f aca="true">IF(Build!AF637,OFFSET(Spells!E$2,Build!AF637,0),"")</f>
        <v/>
      </c>
      <c r="Q25" s="492"/>
      <c r="R25" s="492" t="str">
        <f aca="true">IF(Build!AF637,OFFSET(Spells!F$2,Build!AF637,0),"")</f>
        <v/>
      </c>
      <c r="S25" s="492"/>
      <c r="T25" s="492" t="str">
        <f aca="true">IF(Build!AF637,OFFSET(Spells!G$2,Build!AF637,0),"")</f>
        <v/>
      </c>
      <c r="U25" s="492"/>
      <c r="V25" s="492"/>
      <c r="W25" s="492" t="str">
        <f aca="true">IF(Build!AF637,OFFSET(Spells!I$2,Build!AF637,0),"")</f>
        <v/>
      </c>
      <c r="X25" s="492"/>
      <c r="Y25" s="492"/>
      <c r="Z25" s="507" t="str">
        <f aca="false">Build!AL637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IF(Build!AF638,OFFSET(Spells!B$2,Build!AF638,0),"")</f>
        <v/>
      </c>
      <c r="D26" s="491"/>
      <c r="E26" s="491"/>
      <c r="F26" s="491"/>
      <c r="G26" s="491"/>
      <c r="H26" s="491"/>
      <c r="I26" s="491"/>
      <c r="J26" s="491"/>
      <c r="K26" s="491"/>
      <c r="L26" s="492" t="str">
        <f aca="true">IF(Build!AF638,OFFSET(Spells!C$2,Build!AF638,0),"")</f>
        <v/>
      </c>
      <c r="M26" s="492"/>
      <c r="N26" s="492" t="str">
        <f aca="true">IF(Build!AF638,OFFSET(Spells!D$2,Build!AF638,0),"")</f>
        <v/>
      </c>
      <c r="O26" s="492"/>
      <c r="P26" s="492" t="str">
        <f aca="true">IF(Build!AF638,OFFSET(Spells!E$2,Build!AF638,0),"")</f>
        <v/>
      </c>
      <c r="Q26" s="492"/>
      <c r="R26" s="492" t="str">
        <f aca="true">IF(Build!AF638,OFFSET(Spells!F$2,Build!AF638,0),"")</f>
        <v/>
      </c>
      <c r="S26" s="492"/>
      <c r="T26" s="492" t="str">
        <f aca="true">IF(Build!AF638,OFFSET(Spells!G$2,Build!AF638,0),"")</f>
        <v/>
      </c>
      <c r="U26" s="492"/>
      <c r="V26" s="492"/>
      <c r="W26" s="492" t="str">
        <f aca="true">IF(Build!AF638,OFFSET(Spells!I$2,Build!AF638,0),"")</f>
        <v/>
      </c>
      <c r="X26" s="492"/>
      <c r="Y26" s="492"/>
      <c r="Z26" s="507" t="str">
        <f aca="false">Build!AL638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IF(Build!AF639,OFFSET(Spells!B$2,Build!AF639,0),"")</f>
        <v/>
      </c>
      <c r="D27" s="491"/>
      <c r="E27" s="491"/>
      <c r="F27" s="491"/>
      <c r="G27" s="491"/>
      <c r="H27" s="491"/>
      <c r="I27" s="491"/>
      <c r="J27" s="491"/>
      <c r="K27" s="491"/>
      <c r="L27" s="492" t="str">
        <f aca="true">IF(Build!AF639,OFFSET(Spells!C$2,Build!AF639,0),"")</f>
        <v/>
      </c>
      <c r="M27" s="492"/>
      <c r="N27" s="492" t="str">
        <f aca="true">IF(Build!AF639,OFFSET(Spells!D$2,Build!AF639,0),"")</f>
        <v/>
      </c>
      <c r="O27" s="492"/>
      <c r="P27" s="492" t="str">
        <f aca="true">IF(Build!AF639,OFFSET(Spells!E$2,Build!AF639,0),"")</f>
        <v/>
      </c>
      <c r="Q27" s="492"/>
      <c r="R27" s="492" t="str">
        <f aca="true">IF(Build!AF639,OFFSET(Spells!F$2,Build!AF639,0),"")</f>
        <v/>
      </c>
      <c r="S27" s="492"/>
      <c r="T27" s="492" t="str">
        <f aca="true">IF(Build!AF639,OFFSET(Spells!G$2,Build!AF639,0),"")</f>
        <v/>
      </c>
      <c r="U27" s="492"/>
      <c r="V27" s="492"/>
      <c r="W27" s="492" t="str">
        <f aca="true">IF(Build!AF639,OFFSET(Spells!I$2,Build!AF639,0),"")</f>
        <v/>
      </c>
      <c r="X27" s="492"/>
      <c r="Y27" s="492"/>
      <c r="Z27" s="507" t="str">
        <f aca="false">Build!AL639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IF(Build!AF640,OFFSET(Spells!B$2,Build!AF640,0),"")</f>
        <v/>
      </c>
      <c r="D28" s="491"/>
      <c r="E28" s="491"/>
      <c r="F28" s="491"/>
      <c r="G28" s="491"/>
      <c r="H28" s="491"/>
      <c r="I28" s="491"/>
      <c r="J28" s="491"/>
      <c r="K28" s="491"/>
      <c r="L28" s="492" t="str">
        <f aca="true">IF(Build!AF640,OFFSET(Spells!C$2,Build!AF640,0),"")</f>
        <v/>
      </c>
      <c r="M28" s="492"/>
      <c r="N28" s="492" t="str">
        <f aca="true">IF(Build!AF640,OFFSET(Spells!D$2,Build!AF640,0),"")</f>
        <v/>
      </c>
      <c r="O28" s="492"/>
      <c r="P28" s="492" t="str">
        <f aca="true">IF(Build!AF640,OFFSET(Spells!E$2,Build!AF640,0),"")</f>
        <v/>
      </c>
      <c r="Q28" s="492"/>
      <c r="R28" s="492" t="str">
        <f aca="true">IF(Build!AF640,OFFSET(Spells!F$2,Build!AF640,0),"")</f>
        <v/>
      </c>
      <c r="S28" s="492"/>
      <c r="T28" s="492" t="str">
        <f aca="true">IF(Build!AF640,OFFSET(Spells!G$2,Build!AF640,0),"")</f>
        <v/>
      </c>
      <c r="U28" s="492"/>
      <c r="V28" s="492"/>
      <c r="W28" s="492" t="str">
        <f aca="true">IF(Build!AF640,OFFSET(Spells!I$2,Build!AF640,0),"")</f>
        <v/>
      </c>
      <c r="X28" s="492"/>
      <c r="Y28" s="492"/>
      <c r="Z28" s="507" t="str">
        <f aca="false">Build!AL640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IF(Build!AF641,OFFSET(Spells!B$2,Build!AF641,0),"")</f>
        <v/>
      </c>
      <c r="D29" s="491"/>
      <c r="E29" s="491"/>
      <c r="F29" s="491"/>
      <c r="G29" s="491"/>
      <c r="H29" s="491"/>
      <c r="I29" s="491"/>
      <c r="J29" s="491"/>
      <c r="K29" s="491"/>
      <c r="L29" s="492" t="str">
        <f aca="true">IF(Build!AF641,OFFSET(Spells!C$2,Build!AF641,0),"")</f>
        <v/>
      </c>
      <c r="M29" s="492"/>
      <c r="N29" s="492" t="str">
        <f aca="true">IF(Build!AF641,OFFSET(Spells!D$2,Build!AF641,0),"")</f>
        <v/>
      </c>
      <c r="O29" s="492"/>
      <c r="P29" s="492" t="str">
        <f aca="true">IF(Build!AF641,OFFSET(Spells!E$2,Build!AF641,0),"")</f>
        <v/>
      </c>
      <c r="Q29" s="492"/>
      <c r="R29" s="492" t="str">
        <f aca="true">IF(Build!AF641,OFFSET(Spells!F$2,Build!AF641,0),"")</f>
        <v/>
      </c>
      <c r="S29" s="492"/>
      <c r="T29" s="492" t="str">
        <f aca="true">IF(Build!AF641,OFFSET(Spells!G$2,Build!AF641,0),"")</f>
        <v/>
      </c>
      <c r="U29" s="492"/>
      <c r="V29" s="492"/>
      <c r="W29" s="492" t="str">
        <f aca="true">IF(Build!AF641,OFFSET(Spells!I$2,Build!AF641,0),"")</f>
        <v/>
      </c>
      <c r="X29" s="492"/>
      <c r="Y29" s="492"/>
      <c r="Z29" s="507" t="str">
        <f aca="false">Build!AL641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IF(Build!AF642,OFFSET(Spells!B$2,Build!AF642,0),"")</f>
        <v/>
      </c>
      <c r="D30" s="491"/>
      <c r="E30" s="491"/>
      <c r="F30" s="491"/>
      <c r="G30" s="491"/>
      <c r="H30" s="491"/>
      <c r="I30" s="491"/>
      <c r="J30" s="491"/>
      <c r="K30" s="491"/>
      <c r="L30" s="492" t="str">
        <f aca="true">IF(Build!AF642,OFFSET(Spells!C$2,Build!AF642,0),"")</f>
        <v/>
      </c>
      <c r="M30" s="492"/>
      <c r="N30" s="492" t="str">
        <f aca="true">IF(Build!AF642,OFFSET(Spells!D$2,Build!AF642,0),"")</f>
        <v/>
      </c>
      <c r="O30" s="492"/>
      <c r="P30" s="492" t="str">
        <f aca="true">IF(Build!AF642,OFFSET(Spells!E$2,Build!AF642,0),"")</f>
        <v/>
      </c>
      <c r="Q30" s="492"/>
      <c r="R30" s="492" t="str">
        <f aca="true">IF(Build!AF642,OFFSET(Spells!F$2,Build!AF642,0),"")</f>
        <v/>
      </c>
      <c r="S30" s="492"/>
      <c r="T30" s="492" t="str">
        <f aca="true">IF(Build!AF642,OFFSET(Spells!G$2,Build!AF642,0),"")</f>
        <v/>
      </c>
      <c r="U30" s="492"/>
      <c r="V30" s="492"/>
      <c r="W30" s="492" t="str">
        <f aca="true">IF(Build!AF642,OFFSET(Spells!I$2,Build!AF642,0),"")</f>
        <v/>
      </c>
      <c r="X30" s="492"/>
      <c r="Y30" s="492"/>
      <c r="Z30" s="507" t="str">
        <f aca="false">Build!AL642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IF(Build!AF643,OFFSET(Spells!B$2,Build!AF643,0),"")</f>
        <v/>
      </c>
      <c r="D31" s="491"/>
      <c r="E31" s="491"/>
      <c r="F31" s="491"/>
      <c r="G31" s="491"/>
      <c r="H31" s="491"/>
      <c r="I31" s="491"/>
      <c r="J31" s="491"/>
      <c r="K31" s="491"/>
      <c r="L31" s="492" t="str">
        <f aca="true">IF(Build!AF643,OFFSET(Spells!C$2,Build!AF643,0),"")</f>
        <v/>
      </c>
      <c r="M31" s="492"/>
      <c r="N31" s="492" t="str">
        <f aca="true">IF(Build!AF643,OFFSET(Spells!D$2,Build!AF643,0),"")</f>
        <v/>
      </c>
      <c r="O31" s="492"/>
      <c r="P31" s="492" t="str">
        <f aca="true">IF(Build!AF643,OFFSET(Spells!E$2,Build!AF643,0),"")</f>
        <v/>
      </c>
      <c r="Q31" s="492"/>
      <c r="R31" s="492" t="str">
        <f aca="true">IF(Build!AF643,OFFSET(Spells!F$2,Build!AF643,0),"")</f>
        <v/>
      </c>
      <c r="S31" s="492"/>
      <c r="T31" s="492" t="str">
        <f aca="true">IF(Build!AF643,OFFSET(Spells!G$2,Build!AF643,0),"")</f>
        <v/>
      </c>
      <c r="U31" s="492"/>
      <c r="V31" s="492"/>
      <c r="W31" s="492" t="str">
        <f aca="true">IF(Build!AF643,OFFSET(Spells!I$2,Build!AF643,0),"")</f>
        <v/>
      </c>
      <c r="X31" s="492"/>
      <c r="Y31" s="492"/>
      <c r="Z31" s="507" t="str">
        <f aca="false">Build!AL643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IF(Build!AF644,OFFSET(Spells!B$2,Build!AF644,0),"")</f>
        <v/>
      </c>
      <c r="D32" s="491"/>
      <c r="E32" s="491"/>
      <c r="F32" s="491"/>
      <c r="G32" s="491"/>
      <c r="H32" s="491"/>
      <c r="I32" s="491"/>
      <c r="J32" s="491"/>
      <c r="K32" s="491"/>
      <c r="L32" s="492" t="str">
        <f aca="true">IF(Build!AF644,OFFSET(Spells!C$2,Build!AF644,0),"")</f>
        <v/>
      </c>
      <c r="M32" s="492"/>
      <c r="N32" s="492" t="str">
        <f aca="true">IF(Build!AF644,OFFSET(Spells!D$2,Build!AF644,0),"")</f>
        <v/>
      </c>
      <c r="O32" s="492"/>
      <c r="P32" s="492" t="str">
        <f aca="true">IF(Build!AF644,OFFSET(Spells!E$2,Build!AF644,0),"")</f>
        <v/>
      </c>
      <c r="Q32" s="492"/>
      <c r="R32" s="492" t="str">
        <f aca="true">IF(Build!AF644,OFFSET(Spells!F$2,Build!AF644,0),"")</f>
        <v/>
      </c>
      <c r="S32" s="492"/>
      <c r="T32" s="492" t="str">
        <f aca="true">IF(Build!AF644,OFFSET(Spells!G$2,Build!AF644,0),"")</f>
        <v/>
      </c>
      <c r="U32" s="492"/>
      <c r="V32" s="492"/>
      <c r="W32" s="492" t="str">
        <f aca="true">IF(Build!AF644,OFFSET(Spells!I$2,Build!AF644,0),"")</f>
        <v/>
      </c>
      <c r="X32" s="492"/>
      <c r="Y32" s="492"/>
      <c r="Z32" s="507" t="str">
        <f aca="false">Build!AL644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IF(Build!AF645,OFFSET(Spells!B$2,Build!AF645,0),"")</f>
        <v/>
      </c>
      <c r="D33" s="491"/>
      <c r="E33" s="491"/>
      <c r="F33" s="491"/>
      <c r="G33" s="491"/>
      <c r="H33" s="491"/>
      <c r="I33" s="491"/>
      <c r="J33" s="491"/>
      <c r="K33" s="491"/>
      <c r="L33" s="492" t="str">
        <f aca="true">IF(Build!AF645,OFFSET(Spells!C$2,Build!AF645,0),"")</f>
        <v/>
      </c>
      <c r="M33" s="492"/>
      <c r="N33" s="492" t="str">
        <f aca="true">IF(Build!AF645,OFFSET(Spells!D$2,Build!AF645,0),"")</f>
        <v/>
      </c>
      <c r="O33" s="492"/>
      <c r="P33" s="492" t="str">
        <f aca="true">IF(Build!AF645,OFFSET(Spells!E$2,Build!AF645,0),"")</f>
        <v/>
      </c>
      <c r="Q33" s="492"/>
      <c r="R33" s="492" t="str">
        <f aca="true">IF(Build!AF645,OFFSET(Spells!F$2,Build!AF645,0),"")</f>
        <v/>
      </c>
      <c r="S33" s="492"/>
      <c r="T33" s="492" t="str">
        <f aca="true">IF(Build!AF645,OFFSET(Spells!G$2,Build!AF645,0),"")</f>
        <v/>
      </c>
      <c r="U33" s="492"/>
      <c r="V33" s="492"/>
      <c r="W33" s="492" t="str">
        <f aca="true">IF(Build!AF645,OFFSET(Spells!I$2,Build!AF645,0),"")</f>
        <v/>
      </c>
      <c r="X33" s="492"/>
      <c r="Y33" s="492"/>
      <c r="Z33" s="507" t="str">
        <f aca="false">Build!AL645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IF(Build!AF646,OFFSET(Spells!B$2,Build!AF646,0),"")</f>
        <v/>
      </c>
      <c r="D34" s="491"/>
      <c r="E34" s="491"/>
      <c r="F34" s="491"/>
      <c r="G34" s="491"/>
      <c r="H34" s="491"/>
      <c r="I34" s="491"/>
      <c r="J34" s="491"/>
      <c r="K34" s="491"/>
      <c r="L34" s="492" t="str">
        <f aca="true">IF(Build!AF646,OFFSET(Spells!C$2,Build!AF646,0),"")</f>
        <v/>
      </c>
      <c r="M34" s="492"/>
      <c r="N34" s="492" t="str">
        <f aca="true">IF(Build!AF646,OFFSET(Spells!D$2,Build!AF646,0),"")</f>
        <v/>
      </c>
      <c r="O34" s="492"/>
      <c r="P34" s="492" t="str">
        <f aca="true">IF(Build!AF646,OFFSET(Spells!E$2,Build!AF646,0),"")</f>
        <v/>
      </c>
      <c r="Q34" s="492"/>
      <c r="R34" s="492" t="str">
        <f aca="true">IF(Build!AF646,OFFSET(Spells!F$2,Build!AF646,0),"")</f>
        <v/>
      </c>
      <c r="S34" s="492"/>
      <c r="T34" s="492" t="str">
        <f aca="true">IF(Build!AF646,OFFSET(Spells!G$2,Build!AF646,0),"")</f>
        <v/>
      </c>
      <c r="U34" s="492"/>
      <c r="V34" s="492"/>
      <c r="W34" s="492" t="str">
        <f aca="true">IF(Build!AF646,OFFSET(Spells!I$2,Build!AF646,0),"")</f>
        <v/>
      </c>
      <c r="X34" s="492"/>
      <c r="Y34" s="492"/>
      <c r="Z34" s="507" t="str">
        <f aca="false">Build!AL646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IF(Build!AF647,OFFSET(Spells!B$2,Build!AF647,0),"")</f>
        <v/>
      </c>
      <c r="D35" s="491"/>
      <c r="E35" s="491"/>
      <c r="F35" s="491"/>
      <c r="G35" s="491"/>
      <c r="H35" s="491"/>
      <c r="I35" s="491"/>
      <c r="J35" s="491"/>
      <c r="K35" s="491"/>
      <c r="L35" s="492" t="str">
        <f aca="true">IF(Build!AF647,OFFSET(Spells!C$2,Build!AF647,0),"")</f>
        <v/>
      </c>
      <c r="M35" s="492"/>
      <c r="N35" s="492" t="str">
        <f aca="true">IF(Build!AF647,OFFSET(Spells!D$2,Build!AF647,0),"")</f>
        <v/>
      </c>
      <c r="O35" s="492"/>
      <c r="P35" s="492" t="str">
        <f aca="true">IF(Build!AF647,OFFSET(Spells!E$2,Build!AF647,0),"")</f>
        <v/>
      </c>
      <c r="Q35" s="492"/>
      <c r="R35" s="492" t="str">
        <f aca="true">IF(Build!AF647,OFFSET(Spells!F$2,Build!AF647,0),"")</f>
        <v/>
      </c>
      <c r="S35" s="492"/>
      <c r="T35" s="492" t="str">
        <f aca="true">IF(Build!AF647,OFFSET(Spells!G$2,Build!AF647,0),"")</f>
        <v/>
      </c>
      <c r="U35" s="492"/>
      <c r="V35" s="492"/>
      <c r="W35" s="492" t="str">
        <f aca="true">IF(Build!AF647,OFFSET(Spells!I$2,Build!AF647,0),"")</f>
        <v/>
      </c>
      <c r="X35" s="492"/>
      <c r="Y35" s="492"/>
      <c r="Z35" s="507" t="str">
        <f aca="false">Build!AL647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IF(Build!AF648,OFFSET(Spells!B$2,Build!AF648,0),"")</f>
        <v/>
      </c>
      <c r="D36" s="491"/>
      <c r="E36" s="491"/>
      <c r="F36" s="491"/>
      <c r="G36" s="491"/>
      <c r="H36" s="491"/>
      <c r="I36" s="491"/>
      <c r="J36" s="491"/>
      <c r="K36" s="491"/>
      <c r="L36" s="492" t="str">
        <f aca="true">IF(Build!AF648,OFFSET(Spells!C$2,Build!AF648,0),"")</f>
        <v/>
      </c>
      <c r="M36" s="492"/>
      <c r="N36" s="492" t="str">
        <f aca="true">IF(Build!AF648,OFFSET(Spells!D$2,Build!AF648,0),"")</f>
        <v/>
      </c>
      <c r="O36" s="492"/>
      <c r="P36" s="492" t="str">
        <f aca="true">IF(Build!AF648,OFFSET(Spells!E$2,Build!AF648,0),"")</f>
        <v/>
      </c>
      <c r="Q36" s="492"/>
      <c r="R36" s="492" t="str">
        <f aca="true">IF(Build!AF648,OFFSET(Spells!F$2,Build!AF648,0),"")</f>
        <v/>
      </c>
      <c r="S36" s="492"/>
      <c r="T36" s="492" t="str">
        <f aca="true">IF(Build!AF648,OFFSET(Spells!G$2,Build!AF648,0),"")</f>
        <v/>
      </c>
      <c r="U36" s="492"/>
      <c r="V36" s="492"/>
      <c r="W36" s="492" t="str">
        <f aca="true">IF(Build!AF648,OFFSET(Spells!I$2,Build!AF648,0),"")</f>
        <v/>
      </c>
      <c r="X36" s="492"/>
      <c r="Y36" s="492"/>
      <c r="Z36" s="507" t="str">
        <f aca="false">Build!AL648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IF(Build!AF649,OFFSET(Spells!B$2,Build!AF649,0),"")</f>
        <v/>
      </c>
      <c r="D37" s="491"/>
      <c r="E37" s="491"/>
      <c r="F37" s="491"/>
      <c r="G37" s="491"/>
      <c r="H37" s="491"/>
      <c r="I37" s="491"/>
      <c r="J37" s="491"/>
      <c r="K37" s="491"/>
      <c r="L37" s="492" t="str">
        <f aca="true">IF(Build!AF649,OFFSET(Spells!C$2,Build!AF649,0),"")</f>
        <v/>
      </c>
      <c r="M37" s="492"/>
      <c r="N37" s="492" t="str">
        <f aca="true">IF(Build!AF649,OFFSET(Spells!D$2,Build!AF649,0),"")</f>
        <v/>
      </c>
      <c r="O37" s="492"/>
      <c r="P37" s="492" t="str">
        <f aca="true">IF(Build!AF649,OFFSET(Spells!E$2,Build!AF649,0),"")</f>
        <v/>
      </c>
      <c r="Q37" s="492"/>
      <c r="R37" s="492" t="str">
        <f aca="true">IF(Build!AF649,OFFSET(Spells!F$2,Build!AF649,0),"")</f>
        <v/>
      </c>
      <c r="S37" s="492"/>
      <c r="T37" s="492" t="str">
        <f aca="true">IF(Build!AF649,OFFSET(Spells!G$2,Build!AF649,0),"")</f>
        <v/>
      </c>
      <c r="U37" s="492"/>
      <c r="V37" s="492"/>
      <c r="W37" s="492" t="str">
        <f aca="true">IF(Build!AF649,OFFSET(Spells!I$2,Build!AF649,0),"")</f>
        <v/>
      </c>
      <c r="X37" s="492"/>
      <c r="Y37" s="492"/>
      <c r="Z37" s="507" t="str">
        <f aca="false">Build!AL649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IF(Build!AF650,OFFSET(Spells!B$2,Build!AF650,0),"")</f>
        <v/>
      </c>
      <c r="D38" s="491"/>
      <c r="E38" s="491"/>
      <c r="F38" s="491"/>
      <c r="G38" s="491"/>
      <c r="H38" s="491"/>
      <c r="I38" s="491"/>
      <c r="J38" s="491"/>
      <c r="K38" s="491"/>
      <c r="L38" s="492" t="str">
        <f aca="true">IF(Build!AF650,OFFSET(Spells!C$2,Build!AF650,0),"")</f>
        <v/>
      </c>
      <c r="M38" s="492"/>
      <c r="N38" s="492" t="str">
        <f aca="true">IF(Build!AF650,OFFSET(Spells!D$2,Build!AF650,0),"")</f>
        <v/>
      </c>
      <c r="O38" s="492"/>
      <c r="P38" s="492" t="str">
        <f aca="true">IF(Build!AF650,OFFSET(Spells!E$2,Build!AF650,0),"")</f>
        <v/>
      </c>
      <c r="Q38" s="492"/>
      <c r="R38" s="492" t="str">
        <f aca="true">IF(Build!AF650,OFFSET(Spells!F$2,Build!AF650,0),"")</f>
        <v/>
      </c>
      <c r="S38" s="492"/>
      <c r="T38" s="492" t="str">
        <f aca="true">IF(Build!AF650,OFFSET(Spells!G$2,Build!AF650,0),"")</f>
        <v/>
      </c>
      <c r="U38" s="492"/>
      <c r="V38" s="492"/>
      <c r="W38" s="492" t="str">
        <f aca="true">IF(Build!AF650,OFFSET(Spells!I$2,Build!AF650,0),"")</f>
        <v/>
      </c>
      <c r="X38" s="492"/>
      <c r="Y38" s="492"/>
      <c r="Z38" s="507" t="str">
        <f aca="false">Build!AL650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IF(Build!AF651,OFFSET(Spells!B$2,Build!AF651,0),"")</f>
        <v/>
      </c>
      <c r="D39" s="491"/>
      <c r="E39" s="491"/>
      <c r="F39" s="491"/>
      <c r="G39" s="491"/>
      <c r="H39" s="491"/>
      <c r="I39" s="491"/>
      <c r="J39" s="491"/>
      <c r="K39" s="491"/>
      <c r="L39" s="492" t="str">
        <f aca="true">IF(Build!AF651,OFFSET(Spells!C$2,Build!AF651,0),"")</f>
        <v/>
      </c>
      <c r="M39" s="492"/>
      <c r="N39" s="492" t="str">
        <f aca="true">IF(Build!AF651,OFFSET(Spells!D$2,Build!AF651,0),"")</f>
        <v/>
      </c>
      <c r="O39" s="492"/>
      <c r="P39" s="492" t="str">
        <f aca="true">IF(Build!AF651,OFFSET(Spells!E$2,Build!AF651,0),"")</f>
        <v/>
      </c>
      <c r="Q39" s="492"/>
      <c r="R39" s="492" t="str">
        <f aca="true">IF(Build!AF651,OFFSET(Spells!F$2,Build!AF651,0),"")</f>
        <v/>
      </c>
      <c r="S39" s="492"/>
      <c r="T39" s="492" t="str">
        <f aca="true">IF(Build!AF651,OFFSET(Spells!G$2,Build!AF651,0),"")</f>
        <v/>
      </c>
      <c r="U39" s="492"/>
      <c r="V39" s="492"/>
      <c r="W39" s="492" t="str">
        <f aca="true">IF(Build!AF651,OFFSET(Spells!I$2,Build!AF651,0),"")</f>
        <v/>
      </c>
      <c r="X39" s="492"/>
      <c r="Y39" s="492"/>
      <c r="Z39" s="507" t="str">
        <f aca="false">Build!AL651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IF(Build!AF652,OFFSET(Spells!B$2,Build!AF652,0),"")</f>
        <v/>
      </c>
      <c r="D40" s="491"/>
      <c r="E40" s="491"/>
      <c r="F40" s="491"/>
      <c r="G40" s="491"/>
      <c r="H40" s="491"/>
      <c r="I40" s="491"/>
      <c r="J40" s="491"/>
      <c r="K40" s="491"/>
      <c r="L40" s="492" t="str">
        <f aca="true">IF(Build!AF652,OFFSET(Spells!C$2,Build!AF652,0),"")</f>
        <v/>
      </c>
      <c r="M40" s="492"/>
      <c r="N40" s="492" t="str">
        <f aca="true">IF(Build!AF652,OFFSET(Spells!D$2,Build!AF652,0),"")</f>
        <v/>
      </c>
      <c r="O40" s="492"/>
      <c r="P40" s="492" t="str">
        <f aca="true">IF(Build!AF652,OFFSET(Spells!E$2,Build!AF652,0),"")</f>
        <v/>
      </c>
      <c r="Q40" s="492"/>
      <c r="R40" s="492" t="str">
        <f aca="true">IF(Build!AF652,OFFSET(Spells!F$2,Build!AF652,0),"")</f>
        <v/>
      </c>
      <c r="S40" s="492"/>
      <c r="T40" s="492" t="str">
        <f aca="true">IF(Build!AF652,OFFSET(Spells!G$2,Build!AF652,0),"")</f>
        <v/>
      </c>
      <c r="U40" s="492"/>
      <c r="V40" s="492"/>
      <c r="W40" s="492" t="str">
        <f aca="true">IF(Build!AF652,OFFSET(Spells!I$2,Build!AF652,0),"")</f>
        <v/>
      </c>
      <c r="X40" s="492"/>
      <c r="Y40" s="492"/>
      <c r="Z40" s="507" t="str">
        <f aca="false">Build!AL652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IF(Build!AF653,OFFSET(Spells!B$2,Build!AF653,0),"")</f>
        <v/>
      </c>
      <c r="D41" s="491"/>
      <c r="E41" s="491"/>
      <c r="F41" s="491"/>
      <c r="G41" s="491"/>
      <c r="H41" s="491"/>
      <c r="I41" s="491"/>
      <c r="J41" s="491"/>
      <c r="K41" s="491"/>
      <c r="L41" s="492" t="str">
        <f aca="true">IF(Build!AF653,OFFSET(Spells!C$2,Build!AF653,0),"")</f>
        <v/>
      </c>
      <c r="M41" s="492"/>
      <c r="N41" s="492" t="str">
        <f aca="true">IF(Build!AF653,OFFSET(Spells!D$2,Build!AF653,0),"")</f>
        <v/>
      </c>
      <c r="O41" s="492"/>
      <c r="P41" s="492" t="str">
        <f aca="true">IF(Build!AF653,OFFSET(Spells!E$2,Build!AF653,0),"")</f>
        <v/>
      </c>
      <c r="Q41" s="492"/>
      <c r="R41" s="492" t="str">
        <f aca="true">IF(Build!AF653,OFFSET(Spells!F$2,Build!AF653,0),"")</f>
        <v/>
      </c>
      <c r="S41" s="492"/>
      <c r="T41" s="492" t="str">
        <f aca="true">IF(Build!AF653,OFFSET(Spells!G$2,Build!AF653,0),"")</f>
        <v/>
      </c>
      <c r="U41" s="492"/>
      <c r="V41" s="492"/>
      <c r="W41" s="492" t="str">
        <f aca="true">IF(Build!AF653,OFFSET(Spells!I$2,Build!AF653,0),"")</f>
        <v/>
      </c>
      <c r="X41" s="492"/>
      <c r="Y41" s="492"/>
      <c r="Z41" s="507" t="str">
        <f aca="false">Build!AL653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IF(Build!AF654,OFFSET(Spells!B$2,Build!AF654,0),"")</f>
        <v/>
      </c>
      <c r="D42" s="491"/>
      <c r="E42" s="491"/>
      <c r="F42" s="491"/>
      <c r="G42" s="491"/>
      <c r="H42" s="491"/>
      <c r="I42" s="491"/>
      <c r="J42" s="491"/>
      <c r="K42" s="491"/>
      <c r="L42" s="492" t="str">
        <f aca="true">IF(Build!AF654,OFFSET(Spells!C$2,Build!AF654,0),"")</f>
        <v/>
      </c>
      <c r="M42" s="492"/>
      <c r="N42" s="492" t="str">
        <f aca="true">IF(Build!AF654,OFFSET(Spells!D$2,Build!AF654,0),"")</f>
        <v/>
      </c>
      <c r="O42" s="492"/>
      <c r="P42" s="492" t="str">
        <f aca="true">IF(Build!AF654,OFFSET(Spells!E$2,Build!AF654,0),"")</f>
        <v/>
      </c>
      <c r="Q42" s="492"/>
      <c r="R42" s="492" t="str">
        <f aca="true">IF(Build!AF654,OFFSET(Spells!F$2,Build!AF654,0),"")</f>
        <v/>
      </c>
      <c r="S42" s="492"/>
      <c r="T42" s="492" t="str">
        <f aca="true">IF(Build!AF654,OFFSET(Spells!G$2,Build!AF654,0),"")</f>
        <v/>
      </c>
      <c r="U42" s="492"/>
      <c r="V42" s="492"/>
      <c r="W42" s="492" t="str">
        <f aca="true">IF(Build!AF654,OFFSET(Spells!I$2,Build!AF654,0),"")</f>
        <v/>
      </c>
      <c r="X42" s="492"/>
      <c r="Y42" s="492"/>
      <c r="Z42" s="507" t="str">
        <f aca="false">Build!AL654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IF(Build!AF655,OFFSET(Spells!B$2,Build!AF655,0),"")</f>
        <v/>
      </c>
      <c r="D43" s="491"/>
      <c r="E43" s="491"/>
      <c r="F43" s="491"/>
      <c r="G43" s="491"/>
      <c r="H43" s="491"/>
      <c r="I43" s="491"/>
      <c r="J43" s="491"/>
      <c r="K43" s="491"/>
      <c r="L43" s="492" t="str">
        <f aca="true">IF(Build!AF655,OFFSET(Spells!C$2,Build!AF655,0),"")</f>
        <v/>
      </c>
      <c r="M43" s="492"/>
      <c r="N43" s="492" t="str">
        <f aca="true">IF(Build!AF655,OFFSET(Spells!D$2,Build!AF655,0),"")</f>
        <v/>
      </c>
      <c r="O43" s="492"/>
      <c r="P43" s="492" t="str">
        <f aca="true">IF(Build!AF655,OFFSET(Spells!E$2,Build!AF655,0),"")</f>
        <v/>
      </c>
      <c r="Q43" s="492"/>
      <c r="R43" s="492" t="str">
        <f aca="true">IF(Build!AF655,OFFSET(Spells!F$2,Build!AF655,0),"")</f>
        <v/>
      </c>
      <c r="S43" s="492"/>
      <c r="T43" s="492" t="str">
        <f aca="true">IF(Build!AF655,OFFSET(Spells!G$2,Build!AF655,0),"")</f>
        <v/>
      </c>
      <c r="U43" s="492"/>
      <c r="V43" s="492"/>
      <c r="W43" s="492" t="str">
        <f aca="true">IF(Build!AF655,OFFSET(Spells!I$2,Build!AF655,0),"")</f>
        <v/>
      </c>
      <c r="X43" s="492"/>
      <c r="Y43" s="492"/>
      <c r="Z43" s="507" t="str">
        <f aca="false">Build!AL655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IF(Build!AF656,OFFSET(Spells!B$2,Build!AF656,0),"")</f>
        <v/>
      </c>
      <c r="D44" s="491"/>
      <c r="E44" s="491"/>
      <c r="F44" s="491"/>
      <c r="G44" s="491"/>
      <c r="H44" s="491"/>
      <c r="I44" s="491"/>
      <c r="J44" s="491"/>
      <c r="K44" s="491"/>
      <c r="L44" s="492" t="str">
        <f aca="true">IF(Build!AF656,OFFSET(Spells!C$2,Build!AF656,0),"")</f>
        <v/>
      </c>
      <c r="M44" s="492"/>
      <c r="N44" s="492" t="str">
        <f aca="true">IF(Build!AF656,OFFSET(Spells!D$2,Build!AF656,0),"")</f>
        <v/>
      </c>
      <c r="O44" s="492"/>
      <c r="P44" s="492" t="str">
        <f aca="true">IF(Build!AF656,OFFSET(Spells!E$2,Build!AF656,0),"")</f>
        <v/>
      </c>
      <c r="Q44" s="492"/>
      <c r="R44" s="492" t="str">
        <f aca="true">IF(Build!AF656,OFFSET(Spells!F$2,Build!AF656,0),"")</f>
        <v/>
      </c>
      <c r="S44" s="492"/>
      <c r="T44" s="492" t="str">
        <f aca="true">IF(Build!AF656,OFFSET(Spells!G$2,Build!AF656,0),"")</f>
        <v/>
      </c>
      <c r="U44" s="492"/>
      <c r="V44" s="492"/>
      <c r="W44" s="492" t="str">
        <f aca="true">IF(Build!AF656,OFFSET(Spells!I$2,Build!AF656,0),"")</f>
        <v/>
      </c>
      <c r="X44" s="492"/>
      <c r="Y44" s="492"/>
      <c r="Z44" s="507" t="str">
        <f aca="false">Build!AL656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IF(Build!AF657,OFFSET(Spells!B$2,Build!AF657,0),"")</f>
        <v/>
      </c>
      <c r="D45" s="491"/>
      <c r="E45" s="491"/>
      <c r="F45" s="491"/>
      <c r="G45" s="491"/>
      <c r="H45" s="491"/>
      <c r="I45" s="491"/>
      <c r="J45" s="491"/>
      <c r="K45" s="491"/>
      <c r="L45" s="492" t="str">
        <f aca="true">IF(Build!AF657,OFFSET(Spells!C$2,Build!AF657,0),"")</f>
        <v/>
      </c>
      <c r="M45" s="492"/>
      <c r="N45" s="492" t="str">
        <f aca="true">IF(Build!AF657,OFFSET(Spells!D$2,Build!AF657,0),"")</f>
        <v/>
      </c>
      <c r="O45" s="492"/>
      <c r="P45" s="492" t="str">
        <f aca="true">IF(Build!AF657,OFFSET(Spells!E$2,Build!AF657,0),"")</f>
        <v/>
      </c>
      <c r="Q45" s="492"/>
      <c r="R45" s="492" t="str">
        <f aca="true">IF(Build!AF657,OFFSET(Spells!F$2,Build!AF657,0),"")</f>
        <v/>
      </c>
      <c r="S45" s="492"/>
      <c r="T45" s="492" t="str">
        <f aca="true">IF(Build!AF657,OFFSET(Spells!G$2,Build!AF657,0),"")</f>
        <v/>
      </c>
      <c r="U45" s="492"/>
      <c r="V45" s="492"/>
      <c r="W45" s="492" t="str">
        <f aca="true">IF(Build!AF657,OFFSET(Spells!I$2,Build!AF657,0),"")</f>
        <v/>
      </c>
      <c r="X45" s="492"/>
      <c r="Y45" s="492"/>
      <c r="Z45" s="507" t="str">
        <f aca="false">Build!AL657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IF(Build!AF658,OFFSET(Spells!B$2,Build!AF658,0),"")</f>
        <v/>
      </c>
      <c r="D46" s="491"/>
      <c r="E46" s="491"/>
      <c r="F46" s="491"/>
      <c r="G46" s="491"/>
      <c r="H46" s="491"/>
      <c r="I46" s="491"/>
      <c r="J46" s="491"/>
      <c r="K46" s="491"/>
      <c r="L46" s="492" t="str">
        <f aca="true">IF(Build!AF658,OFFSET(Spells!C$2,Build!AF658,0),"")</f>
        <v/>
      </c>
      <c r="M46" s="492"/>
      <c r="N46" s="492" t="str">
        <f aca="true">IF(Build!AF658,OFFSET(Spells!D$2,Build!AF658,0),"")</f>
        <v/>
      </c>
      <c r="O46" s="492"/>
      <c r="P46" s="492" t="str">
        <f aca="true">IF(Build!AF658,OFFSET(Spells!E$2,Build!AF658,0),"")</f>
        <v/>
      </c>
      <c r="Q46" s="492"/>
      <c r="R46" s="492" t="str">
        <f aca="true">IF(Build!AF658,OFFSET(Spells!F$2,Build!AF658,0),"")</f>
        <v/>
      </c>
      <c r="S46" s="492"/>
      <c r="T46" s="492" t="str">
        <f aca="true">IF(Build!AF658,OFFSET(Spells!G$2,Build!AF658,0),"")</f>
        <v/>
      </c>
      <c r="U46" s="492"/>
      <c r="V46" s="492"/>
      <c r="W46" s="492" t="str">
        <f aca="true">IF(Build!AF658,OFFSET(Spells!I$2,Build!AF658,0),"")</f>
        <v/>
      </c>
      <c r="X46" s="492"/>
      <c r="Y46" s="492"/>
      <c r="Z46" s="507" t="str">
        <f aca="false">Build!AL658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IF(Build!AF659,OFFSET(Spells!B$2,Build!AF659,0),"")</f>
        <v/>
      </c>
      <c r="D47" s="491"/>
      <c r="E47" s="491"/>
      <c r="F47" s="491"/>
      <c r="G47" s="491"/>
      <c r="H47" s="491"/>
      <c r="I47" s="491"/>
      <c r="J47" s="491"/>
      <c r="K47" s="491"/>
      <c r="L47" s="492" t="str">
        <f aca="true">IF(Build!AF659,OFFSET(Spells!C$2,Build!AF659,0),"")</f>
        <v/>
      </c>
      <c r="M47" s="492"/>
      <c r="N47" s="492" t="str">
        <f aca="true">IF(Build!AF659,OFFSET(Spells!D$2,Build!AF659,0),"")</f>
        <v/>
      </c>
      <c r="O47" s="492"/>
      <c r="P47" s="492" t="str">
        <f aca="true">IF(Build!AF659,OFFSET(Spells!E$2,Build!AF659,0),"")</f>
        <v/>
      </c>
      <c r="Q47" s="492"/>
      <c r="R47" s="492" t="str">
        <f aca="true">IF(Build!AF659,OFFSET(Spells!F$2,Build!AF659,0),"")</f>
        <v/>
      </c>
      <c r="S47" s="492"/>
      <c r="T47" s="492" t="str">
        <f aca="true">IF(Build!AF659,OFFSET(Spells!G$2,Build!AF659,0),"")</f>
        <v/>
      </c>
      <c r="U47" s="492"/>
      <c r="V47" s="492"/>
      <c r="W47" s="492" t="str">
        <f aca="true">IF(Build!AF659,OFFSET(Spells!I$2,Build!AF659,0),"")</f>
        <v/>
      </c>
      <c r="X47" s="492"/>
      <c r="Y47" s="492"/>
      <c r="Z47" s="507" t="str">
        <f aca="false">Build!AL659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IF(Build!AF660,OFFSET(Spells!B$2,Build!AF660,0),"")</f>
        <v/>
      </c>
      <c r="D48" s="491"/>
      <c r="E48" s="491"/>
      <c r="F48" s="491"/>
      <c r="G48" s="491"/>
      <c r="H48" s="491"/>
      <c r="I48" s="491"/>
      <c r="J48" s="491"/>
      <c r="K48" s="491"/>
      <c r="L48" s="492" t="str">
        <f aca="true">IF(Build!AF660,OFFSET(Spells!C$2,Build!AF660,0),"")</f>
        <v/>
      </c>
      <c r="M48" s="492"/>
      <c r="N48" s="492" t="str">
        <f aca="true">IF(Build!AF660,OFFSET(Spells!D$2,Build!AF660,0),"")</f>
        <v/>
      </c>
      <c r="O48" s="492"/>
      <c r="P48" s="492" t="str">
        <f aca="true">IF(Build!AF660,OFFSET(Spells!E$2,Build!AF660,0),"")</f>
        <v/>
      </c>
      <c r="Q48" s="492"/>
      <c r="R48" s="492" t="str">
        <f aca="true">IF(Build!AF660,OFFSET(Spells!F$2,Build!AF660,0),"")</f>
        <v/>
      </c>
      <c r="S48" s="492"/>
      <c r="T48" s="492" t="str">
        <f aca="true">IF(Build!AF660,OFFSET(Spells!G$2,Build!AF660,0),"")</f>
        <v/>
      </c>
      <c r="U48" s="492"/>
      <c r="V48" s="492"/>
      <c r="W48" s="492" t="str">
        <f aca="true">IF(Build!AF660,OFFSET(Spells!I$2,Build!AF660,0),"")</f>
        <v/>
      </c>
      <c r="X48" s="492"/>
      <c r="Y48" s="492"/>
      <c r="Z48" s="507" t="str">
        <f aca="false">Build!AL660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IF(Build!AF661,OFFSET(Spells!B$2,Build!AF661,0),"")</f>
        <v/>
      </c>
      <c r="D49" s="491"/>
      <c r="E49" s="491"/>
      <c r="F49" s="491"/>
      <c r="G49" s="491"/>
      <c r="H49" s="491"/>
      <c r="I49" s="491"/>
      <c r="J49" s="491"/>
      <c r="K49" s="491"/>
      <c r="L49" s="492" t="str">
        <f aca="true">IF(Build!AF661,OFFSET(Spells!C$2,Build!AF661,0),"")</f>
        <v/>
      </c>
      <c r="M49" s="492"/>
      <c r="N49" s="492" t="str">
        <f aca="true">IF(Build!AF661,OFFSET(Spells!D$2,Build!AF661,0),"")</f>
        <v/>
      </c>
      <c r="O49" s="492"/>
      <c r="P49" s="492" t="str">
        <f aca="true">IF(Build!AF661,OFFSET(Spells!E$2,Build!AF661,0),"")</f>
        <v/>
      </c>
      <c r="Q49" s="492"/>
      <c r="R49" s="492" t="str">
        <f aca="true">IF(Build!AF661,OFFSET(Spells!F$2,Build!AF661,0),"")</f>
        <v/>
      </c>
      <c r="S49" s="492"/>
      <c r="T49" s="492" t="str">
        <f aca="true">IF(Build!AF661,OFFSET(Spells!G$2,Build!AF661,0),"")</f>
        <v/>
      </c>
      <c r="U49" s="492"/>
      <c r="V49" s="492"/>
      <c r="W49" s="492" t="str">
        <f aca="true">IF(Build!AF661,OFFSET(Spells!I$2,Build!AF661,0),"")</f>
        <v/>
      </c>
      <c r="X49" s="492"/>
      <c r="Y49" s="492"/>
      <c r="Z49" s="507" t="str">
        <f aca="false">Build!AL661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IF(Build!AF662,OFFSET(Spells!B$2,Build!AF662,0),"")</f>
        <v/>
      </c>
      <c r="D50" s="491"/>
      <c r="E50" s="491"/>
      <c r="F50" s="491"/>
      <c r="G50" s="491"/>
      <c r="H50" s="491"/>
      <c r="I50" s="491"/>
      <c r="J50" s="491"/>
      <c r="K50" s="491"/>
      <c r="L50" s="492" t="str">
        <f aca="true">IF(Build!AF662,OFFSET(Spells!C$2,Build!AF662,0),"")</f>
        <v/>
      </c>
      <c r="M50" s="492"/>
      <c r="N50" s="492" t="str">
        <f aca="true">IF(Build!AF662,OFFSET(Spells!D$2,Build!AF662,0),"")</f>
        <v/>
      </c>
      <c r="O50" s="492"/>
      <c r="P50" s="492" t="str">
        <f aca="true">IF(Build!AF662,OFFSET(Spells!E$2,Build!AF662,0),"")</f>
        <v/>
      </c>
      <c r="Q50" s="492"/>
      <c r="R50" s="492" t="str">
        <f aca="true">IF(Build!AF662,OFFSET(Spells!F$2,Build!AF662,0),"")</f>
        <v/>
      </c>
      <c r="S50" s="492"/>
      <c r="T50" s="492" t="str">
        <f aca="true">IF(Build!AF662,OFFSET(Spells!G$2,Build!AF662,0),"")</f>
        <v/>
      </c>
      <c r="U50" s="492"/>
      <c r="V50" s="492"/>
      <c r="W50" s="492" t="str">
        <f aca="true">IF(Build!AF662,OFFSET(Spells!I$2,Build!AF662,0),"")</f>
        <v/>
      </c>
      <c r="X50" s="492"/>
      <c r="Y50" s="492"/>
      <c r="Z50" s="507" t="str">
        <f aca="false">Build!AL662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IF(Build!AF663,OFFSET(Spells!B$2,Build!AF663,0),"")</f>
        <v/>
      </c>
      <c r="D51" s="491"/>
      <c r="E51" s="491"/>
      <c r="F51" s="491"/>
      <c r="G51" s="491"/>
      <c r="H51" s="491"/>
      <c r="I51" s="491"/>
      <c r="J51" s="491"/>
      <c r="K51" s="491"/>
      <c r="L51" s="492" t="str">
        <f aca="true">IF(Build!AF663,OFFSET(Spells!C$2,Build!AF663,0),"")</f>
        <v/>
      </c>
      <c r="M51" s="492"/>
      <c r="N51" s="492" t="str">
        <f aca="true">IF(Build!AF663,OFFSET(Spells!D$2,Build!AF663,0),"")</f>
        <v/>
      </c>
      <c r="O51" s="492"/>
      <c r="P51" s="492" t="str">
        <f aca="true">IF(Build!AF663,OFFSET(Spells!E$2,Build!AF663,0),"")</f>
        <v/>
      </c>
      <c r="Q51" s="492"/>
      <c r="R51" s="492" t="str">
        <f aca="true">IF(Build!AF663,OFFSET(Spells!F$2,Build!AF663,0),"")</f>
        <v/>
      </c>
      <c r="S51" s="492"/>
      <c r="T51" s="492" t="str">
        <f aca="true">IF(Build!AF663,OFFSET(Spells!G$2,Build!AF663,0),"")</f>
        <v/>
      </c>
      <c r="U51" s="492"/>
      <c r="V51" s="492"/>
      <c r="W51" s="492" t="str">
        <f aca="true">IF(Build!AF663,OFFSET(Spells!I$2,Build!AF663,0),"")</f>
        <v/>
      </c>
      <c r="X51" s="492"/>
      <c r="Y51" s="492"/>
      <c r="Z51" s="507" t="str">
        <f aca="false">Build!AL663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IF(Build!AF664,OFFSET(Spells!B$2,Build!AF664,0),"")</f>
        <v/>
      </c>
      <c r="D52" s="491"/>
      <c r="E52" s="491"/>
      <c r="F52" s="491"/>
      <c r="G52" s="491"/>
      <c r="H52" s="491"/>
      <c r="I52" s="491"/>
      <c r="J52" s="491"/>
      <c r="K52" s="491"/>
      <c r="L52" s="492" t="str">
        <f aca="true">IF(Build!AF664,OFFSET(Spells!C$2,Build!AF664,0),"")</f>
        <v/>
      </c>
      <c r="M52" s="492"/>
      <c r="N52" s="492" t="str">
        <f aca="true">IF(Build!AF664,OFFSET(Spells!D$2,Build!AF664,0),"")</f>
        <v/>
      </c>
      <c r="O52" s="492"/>
      <c r="P52" s="492" t="str">
        <f aca="true">IF(Build!AF664,OFFSET(Spells!E$2,Build!AF664,0),"")</f>
        <v/>
      </c>
      <c r="Q52" s="492"/>
      <c r="R52" s="492" t="str">
        <f aca="true">IF(Build!AF664,OFFSET(Spells!F$2,Build!AF664,0),"")</f>
        <v/>
      </c>
      <c r="S52" s="492"/>
      <c r="T52" s="492" t="str">
        <f aca="true">IF(Build!AF664,OFFSET(Spells!G$2,Build!AF664,0),"")</f>
        <v/>
      </c>
      <c r="U52" s="492"/>
      <c r="V52" s="492"/>
      <c r="W52" s="492" t="str">
        <f aca="true">IF(Build!AF664,OFFSET(Spells!I$2,Build!AF664,0),"")</f>
        <v/>
      </c>
      <c r="X52" s="492"/>
      <c r="Y52" s="492"/>
      <c r="Z52" s="507" t="str">
        <f aca="false">Build!AL664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IF(Build!AF665,OFFSET(Spells!B$2,Build!AF665,0),"")</f>
        <v/>
      </c>
      <c r="D53" s="491"/>
      <c r="E53" s="491"/>
      <c r="F53" s="491"/>
      <c r="G53" s="491"/>
      <c r="H53" s="491"/>
      <c r="I53" s="491"/>
      <c r="J53" s="491"/>
      <c r="K53" s="491"/>
      <c r="L53" s="492" t="str">
        <f aca="true">IF(Build!AF665,OFFSET(Spells!C$2,Build!AF665,0),"")</f>
        <v/>
      </c>
      <c r="M53" s="492"/>
      <c r="N53" s="492" t="str">
        <f aca="true">IF(Build!AF665,OFFSET(Spells!D$2,Build!AF665,0),"")</f>
        <v/>
      </c>
      <c r="O53" s="492"/>
      <c r="P53" s="492" t="str">
        <f aca="true">IF(Build!AF665,OFFSET(Spells!E$2,Build!AF665,0),"")</f>
        <v/>
      </c>
      <c r="Q53" s="492"/>
      <c r="R53" s="492" t="str">
        <f aca="true">IF(Build!AF665,OFFSET(Spells!F$2,Build!AF665,0),"")</f>
        <v/>
      </c>
      <c r="S53" s="492"/>
      <c r="T53" s="492" t="str">
        <f aca="true">IF(Build!AF665,OFFSET(Spells!G$2,Build!AF665,0),"")</f>
        <v/>
      </c>
      <c r="U53" s="492"/>
      <c r="V53" s="492"/>
      <c r="W53" s="492" t="str">
        <f aca="true">IF(Build!AF665,OFFSET(Spells!I$2,Build!AF665,0),"")</f>
        <v/>
      </c>
      <c r="X53" s="492"/>
      <c r="Y53" s="492"/>
      <c r="Z53" s="507" t="str">
        <f aca="false">Build!AL665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IF(Build!AF666,OFFSET(Spells!B$2,Build!AF666,0),"")</f>
        <v/>
      </c>
      <c r="D54" s="491"/>
      <c r="E54" s="491"/>
      <c r="F54" s="491"/>
      <c r="G54" s="491"/>
      <c r="H54" s="491"/>
      <c r="I54" s="491"/>
      <c r="J54" s="491"/>
      <c r="K54" s="491"/>
      <c r="L54" s="492" t="str">
        <f aca="true">IF(Build!AF666,OFFSET(Spells!C$2,Build!AF666,0),"")</f>
        <v/>
      </c>
      <c r="M54" s="492"/>
      <c r="N54" s="492" t="str">
        <f aca="true">IF(Build!AF666,OFFSET(Spells!D$2,Build!AF666,0),"")</f>
        <v/>
      </c>
      <c r="O54" s="492"/>
      <c r="P54" s="492" t="str">
        <f aca="true">IF(Build!AF666,OFFSET(Spells!E$2,Build!AF666,0),"")</f>
        <v/>
      </c>
      <c r="Q54" s="492"/>
      <c r="R54" s="492" t="str">
        <f aca="true">IF(Build!AF666,OFFSET(Spells!F$2,Build!AF666,0),"")</f>
        <v/>
      </c>
      <c r="S54" s="492"/>
      <c r="T54" s="492" t="str">
        <f aca="true">IF(Build!AF666,OFFSET(Spells!G$2,Build!AF666,0),"")</f>
        <v/>
      </c>
      <c r="U54" s="492"/>
      <c r="V54" s="492"/>
      <c r="W54" s="492" t="str">
        <f aca="true">IF(Build!AF666,OFFSET(Spells!I$2,Build!AF666,0),"")</f>
        <v/>
      </c>
      <c r="X54" s="492"/>
      <c r="Y54" s="492"/>
      <c r="Z54" s="507" t="str">
        <f aca="false">Build!AL666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IF(Build!AF667,OFFSET(Spells!B$2,Build!AF667,0),"")</f>
        <v/>
      </c>
      <c r="D55" s="491"/>
      <c r="E55" s="491"/>
      <c r="F55" s="491"/>
      <c r="G55" s="491"/>
      <c r="H55" s="491"/>
      <c r="I55" s="491"/>
      <c r="J55" s="491"/>
      <c r="K55" s="491"/>
      <c r="L55" s="492" t="str">
        <f aca="true">IF(Build!AF667,OFFSET(Spells!C$2,Build!AF667,0),"")</f>
        <v/>
      </c>
      <c r="M55" s="492"/>
      <c r="N55" s="492" t="str">
        <f aca="true">IF(Build!AF667,OFFSET(Spells!D$2,Build!AF667,0),"")</f>
        <v/>
      </c>
      <c r="O55" s="492"/>
      <c r="P55" s="492" t="str">
        <f aca="true">IF(Build!AF667,OFFSET(Spells!E$2,Build!AF667,0),"")</f>
        <v/>
      </c>
      <c r="Q55" s="492"/>
      <c r="R55" s="492" t="str">
        <f aca="true">IF(Build!AF667,OFFSET(Spells!F$2,Build!AF667,0),"")</f>
        <v/>
      </c>
      <c r="S55" s="492"/>
      <c r="T55" s="492" t="str">
        <f aca="true">IF(Build!AF667,OFFSET(Spells!G$2,Build!AF667,0),"")</f>
        <v/>
      </c>
      <c r="U55" s="492"/>
      <c r="V55" s="492"/>
      <c r="W55" s="492" t="str">
        <f aca="true">IF(Build!AF667,OFFSET(Spells!I$2,Build!AF667,0),"")</f>
        <v/>
      </c>
      <c r="X55" s="492"/>
      <c r="Y55" s="492"/>
      <c r="Z55" s="507" t="str">
        <f aca="false">Build!AL667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IF(Build!AF668,OFFSET(Spells!B$2,Build!AF668,0),"")</f>
        <v/>
      </c>
      <c r="D56" s="491"/>
      <c r="E56" s="491"/>
      <c r="F56" s="491"/>
      <c r="G56" s="491"/>
      <c r="H56" s="491"/>
      <c r="I56" s="491"/>
      <c r="J56" s="491"/>
      <c r="K56" s="491"/>
      <c r="L56" s="492" t="str">
        <f aca="true">IF(Build!AF668,OFFSET(Spells!C$2,Build!AF668,0),"")</f>
        <v/>
      </c>
      <c r="M56" s="492"/>
      <c r="N56" s="492" t="str">
        <f aca="true">IF(Build!AF668,OFFSET(Spells!D$2,Build!AF668,0),"")</f>
        <v/>
      </c>
      <c r="O56" s="492"/>
      <c r="P56" s="492" t="str">
        <f aca="true">IF(Build!AF668,OFFSET(Spells!E$2,Build!AF668,0),"")</f>
        <v/>
      </c>
      <c r="Q56" s="492"/>
      <c r="R56" s="492" t="str">
        <f aca="true">IF(Build!AF668,OFFSET(Spells!F$2,Build!AF668,0),"")</f>
        <v/>
      </c>
      <c r="S56" s="492"/>
      <c r="T56" s="492" t="str">
        <f aca="true">IF(Build!AF668,OFFSET(Spells!G$2,Build!AF668,0),"")</f>
        <v/>
      </c>
      <c r="U56" s="492"/>
      <c r="V56" s="492"/>
      <c r="W56" s="492" t="str">
        <f aca="true">IF(Build!AF668,OFFSET(Spells!I$2,Build!AF668,0),"")</f>
        <v/>
      </c>
      <c r="X56" s="492"/>
      <c r="Y56" s="492"/>
      <c r="Z56" s="507" t="str">
        <f aca="false">Build!AL668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IF(Build!AF669,OFFSET(Spells!B$2,Build!AF669,0),"")</f>
        <v/>
      </c>
      <c r="D57" s="491"/>
      <c r="E57" s="491"/>
      <c r="F57" s="491"/>
      <c r="G57" s="491"/>
      <c r="H57" s="491"/>
      <c r="I57" s="491"/>
      <c r="J57" s="491"/>
      <c r="K57" s="491"/>
      <c r="L57" s="492" t="str">
        <f aca="true">IF(Build!AF669,OFFSET(Spells!C$2,Build!AF669,0),"")</f>
        <v/>
      </c>
      <c r="M57" s="492"/>
      <c r="N57" s="492" t="str">
        <f aca="true">IF(Build!AF669,OFFSET(Spells!D$2,Build!AF669,0),"")</f>
        <v/>
      </c>
      <c r="O57" s="492"/>
      <c r="P57" s="492" t="str">
        <f aca="true">IF(Build!AF669,OFFSET(Spells!E$2,Build!AF669,0),"")</f>
        <v/>
      </c>
      <c r="Q57" s="492"/>
      <c r="R57" s="492" t="str">
        <f aca="true">IF(Build!AF669,OFFSET(Spells!F$2,Build!AF669,0),"")</f>
        <v/>
      </c>
      <c r="S57" s="492"/>
      <c r="T57" s="492" t="str">
        <f aca="true">IF(Build!AF669,OFFSET(Spells!G$2,Build!AF669,0),"")</f>
        <v/>
      </c>
      <c r="U57" s="492"/>
      <c r="V57" s="492"/>
      <c r="W57" s="492" t="str">
        <f aca="true">IF(Build!AF669,OFFSET(Spells!I$2,Build!AF669,0),"")</f>
        <v/>
      </c>
      <c r="X57" s="492"/>
      <c r="Y57" s="492"/>
      <c r="Z57" s="507" t="str">
        <f aca="false">Build!AL669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IF(Build!AF670,OFFSET(Spells!B$2,Build!AF670,0),"")</f>
        <v/>
      </c>
      <c r="D58" s="491"/>
      <c r="E58" s="491"/>
      <c r="F58" s="491"/>
      <c r="G58" s="491"/>
      <c r="H58" s="491"/>
      <c r="I58" s="491"/>
      <c r="J58" s="491"/>
      <c r="K58" s="491"/>
      <c r="L58" s="492" t="str">
        <f aca="true">IF(Build!AF670,OFFSET(Spells!C$2,Build!AF670,0),"")</f>
        <v/>
      </c>
      <c r="M58" s="492"/>
      <c r="N58" s="492" t="str">
        <f aca="true">IF(Build!AF670,OFFSET(Spells!D$2,Build!AF670,0),"")</f>
        <v/>
      </c>
      <c r="O58" s="492"/>
      <c r="P58" s="492" t="str">
        <f aca="true">IF(Build!AF670,OFFSET(Spells!E$2,Build!AF670,0),"")</f>
        <v/>
      </c>
      <c r="Q58" s="492"/>
      <c r="R58" s="492" t="str">
        <f aca="true">IF(Build!AF670,OFFSET(Spells!F$2,Build!AF670,0),"")</f>
        <v/>
      </c>
      <c r="S58" s="492"/>
      <c r="T58" s="492" t="str">
        <f aca="true">IF(Build!AF670,OFFSET(Spells!G$2,Build!AF670,0),"")</f>
        <v/>
      </c>
      <c r="U58" s="492"/>
      <c r="V58" s="492"/>
      <c r="W58" s="492" t="str">
        <f aca="true">IF(Build!AF670,OFFSET(Spells!I$2,Build!AF670,0),"")</f>
        <v/>
      </c>
      <c r="X58" s="492"/>
      <c r="Y58" s="492"/>
      <c r="Z58" s="507" t="str">
        <f aca="false">Build!AL670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IF(Build!AF671,OFFSET(Spells!B$2,Build!AF671,0),"")</f>
        <v/>
      </c>
      <c r="D59" s="491"/>
      <c r="E59" s="491"/>
      <c r="F59" s="491"/>
      <c r="G59" s="491"/>
      <c r="H59" s="491"/>
      <c r="I59" s="491"/>
      <c r="J59" s="491"/>
      <c r="K59" s="491"/>
      <c r="L59" s="492" t="str">
        <f aca="true">IF(Build!AF671,OFFSET(Spells!C$2,Build!AF671,0),"")</f>
        <v/>
      </c>
      <c r="M59" s="492"/>
      <c r="N59" s="492" t="str">
        <f aca="true">IF(Build!AF671,OFFSET(Spells!D$2,Build!AF671,0),"")</f>
        <v/>
      </c>
      <c r="O59" s="492"/>
      <c r="P59" s="492" t="str">
        <f aca="true">IF(Build!AF671,OFFSET(Spells!E$2,Build!AF671,0),"")</f>
        <v/>
      </c>
      <c r="Q59" s="492"/>
      <c r="R59" s="492" t="str">
        <f aca="true">IF(Build!AF671,OFFSET(Spells!F$2,Build!AF671,0),"")</f>
        <v/>
      </c>
      <c r="S59" s="492"/>
      <c r="T59" s="492" t="str">
        <f aca="true">IF(Build!AF671,OFFSET(Spells!G$2,Build!AF671,0),"")</f>
        <v/>
      </c>
      <c r="U59" s="492"/>
      <c r="V59" s="492"/>
      <c r="W59" s="492" t="str">
        <f aca="true">IF(Build!AF671,OFFSET(Spells!I$2,Build!AF671,0),"")</f>
        <v/>
      </c>
      <c r="X59" s="492"/>
      <c r="Y59" s="492"/>
      <c r="Z59" s="507" t="str">
        <f aca="false">Build!AL671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IF(Build!AF672,OFFSET(Spells!B$2,Build!AF672,0),"")</f>
        <v/>
      </c>
      <c r="D60" s="491"/>
      <c r="E60" s="491"/>
      <c r="F60" s="491"/>
      <c r="G60" s="491"/>
      <c r="H60" s="491"/>
      <c r="I60" s="491"/>
      <c r="J60" s="491"/>
      <c r="K60" s="491"/>
      <c r="L60" s="492" t="str">
        <f aca="true">IF(Build!AF672,OFFSET(Spells!C$2,Build!AF672,0),"")</f>
        <v/>
      </c>
      <c r="M60" s="492"/>
      <c r="N60" s="492" t="str">
        <f aca="true">IF(Build!AF672,OFFSET(Spells!D$2,Build!AF672,0),"")</f>
        <v/>
      </c>
      <c r="O60" s="492"/>
      <c r="P60" s="492" t="str">
        <f aca="true">IF(Build!AF672,OFFSET(Spells!E$2,Build!AF672,0),"")</f>
        <v/>
      </c>
      <c r="Q60" s="492"/>
      <c r="R60" s="492" t="str">
        <f aca="true">IF(Build!AF672,OFFSET(Spells!F$2,Build!AF672,0),"")</f>
        <v/>
      </c>
      <c r="S60" s="492"/>
      <c r="T60" s="492" t="str">
        <f aca="true">IF(Build!AF672,OFFSET(Spells!G$2,Build!AF672,0),"")</f>
        <v/>
      </c>
      <c r="U60" s="492"/>
      <c r="V60" s="492"/>
      <c r="W60" s="492" t="str">
        <f aca="true">IF(Build!AF672,OFFSET(Spells!I$2,Build!AF672,0),"")</f>
        <v/>
      </c>
      <c r="X60" s="492"/>
      <c r="Y60" s="492"/>
      <c r="Z60" s="507" t="str">
        <f aca="false">Build!AL672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IF(Build!AF673,OFFSET(Spells!B$2,Build!AF673,0),"")</f>
        <v/>
      </c>
      <c r="D61" s="491"/>
      <c r="E61" s="491"/>
      <c r="F61" s="491"/>
      <c r="G61" s="491"/>
      <c r="H61" s="491"/>
      <c r="I61" s="491"/>
      <c r="J61" s="491"/>
      <c r="K61" s="491"/>
      <c r="L61" s="492" t="str">
        <f aca="true">IF(Build!AF673,OFFSET(Spells!C$2,Build!AF673,0),"")</f>
        <v/>
      </c>
      <c r="M61" s="492"/>
      <c r="N61" s="492" t="str">
        <f aca="true">IF(Build!AF673,OFFSET(Spells!D$2,Build!AF673,0),"")</f>
        <v/>
      </c>
      <c r="O61" s="492"/>
      <c r="P61" s="492" t="str">
        <f aca="true">IF(Build!AF673,OFFSET(Spells!E$2,Build!AF673,0),"")</f>
        <v/>
      </c>
      <c r="Q61" s="492"/>
      <c r="R61" s="492" t="str">
        <f aca="true">IF(Build!AF673,OFFSET(Spells!F$2,Build!AF673,0),"")</f>
        <v/>
      </c>
      <c r="S61" s="492"/>
      <c r="T61" s="492" t="str">
        <f aca="true">IF(Build!AF673,OFFSET(Spells!G$2,Build!AF673,0),"")</f>
        <v/>
      </c>
      <c r="U61" s="492"/>
      <c r="V61" s="492"/>
      <c r="W61" s="492" t="str">
        <f aca="true">IF(Build!AF673,OFFSET(Spells!I$2,Build!AF673,0),"")</f>
        <v/>
      </c>
      <c r="X61" s="492"/>
      <c r="Y61" s="492"/>
      <c r="Z61" s="507" t="str">
        <f aca="false">Build!AL673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IF(Build!AF674,OFFSET(Spells!B$2,Build!AF674,0),"")</f>
        <v/>
      </c>
      <c r="D62" s="491"/>
      <c r="E62" s="491"/>
      <c r="F62" s="491"/>
      <c r="G62" s="491"/>
      <c r="H62" s="491"/>
      <c r="I62" s="491"/>
      <c r="J62" s="491"/>
      <c r="K62" s="491"/>
      <c r="L62" s="492" t="str">
        <f aca="true">IF(Build!AF674,OFFSET(Spells!C$2,Build!AF674,0),"")</f>
        <v/>
      </c>
      <c r="M62" s="492"/>
      <c r="N62" s="492" t="str">
        <f aca="true">IF(Build!AF674,OFFSET(Spells!D$2,Build!AF674,0),"")</f>
        <v/>
      </c>
      <c r="O62" s="492"/>
      <c r="P62" s="492" t="str">
        <f aca="true">IF(Build!AF674,OFFSET(Spells!E$2,Build!AF674,0),"")</f>
        <v/>
      </c>
      <c r="Q62" s="492"/>
      <c r="R62" s="492" t="str">
        <f aca="true">IF(Build!AF674,OFFSET(Spells!F$2,Build!AF674,0),"")</f>
        <v/>
      </c>
      <c r="S62" s="492"/>
      <c r="T62" s="492" t="str">
        <f aca="true">IF(Build!AF674,OFFSET(Spells!G$2,Build!AF674,0),"")</f>
        <v/>
      </c>
      <c r="U62" s="492"/>
      <c r="V62" s="492"/>
      <c r="W62" s="492" t="str">
        <f aca="true">IF(Build!AF674,OFFSET(Spells!I$2,Build!AF674,0),"")</f>
        <v/>
      </c>
      <c r="X62" s="492"/>
      <c r="Y62" s="492"/>
      <c r="Z62" s="507" t="str">
        <f aca="false">Build!AL674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IF(Build!AF675,OFFSET(Spells!B$2,Build!AF675,0),"")</f>
        <v/>
      </c>
      <c r="D63" s="491"/>
      <c r="E63" s="491"/>
      <c r="F63" s="491"/>
      <c r="G63" s="491"/>
      <c r="H63" s="491"/>
      <c r="I63" s="491"/>
      <c r="J63" s="491"/>
      <c r="K63" s="491"/>
      <c r="L63" s="492" t="str">
        <f aca="true">IF(Build!AF675,OFFSET(Spells!C$2,Build!AF675,0),"")</f>
        <v/>
      </c>
      <c r="M63" s="492"/>
      <c r="N63" s="492" t="str">
        <f aca="true">IF(Build!AF675,OFFSET(Spells!D$2,Build!AF675,0),"")</f>
        <v/>
      </c>
      <c r="O63" s="492"/>
      <c r="P63" s="492" t="str">
        <f aca="true">IF(Build!AF675,OFFSET(Spells!E$2,Build!AF675,0),"")</f>
        <v/>
      </c>
      <c r="Q63" s="492"/>
      <c r="R63" s="492" t="str">
        <f aca="true">IF(Build!AF675,OFFSET(Spells!F$2,Build!AF675,0),"")</f>
        <v/>
      </c>
      <c r="S63" s="492"/>
      <c r="T63" s="492" t="str">
        <f aca="true">IF(Build!AF675,OFFSET(Spells!G$2,Build!AF675,0),"")</f>
        <v/>
      </c>
      <c r="U63" s="492"/>
      <c r="V63" s="492"/>
      <c r="W63" s="492" t="str">
        <f aca="true">IF(Build!AF675,OFFSET(Spells!I$2,Build!AF675,0),"")</f>
        <v/>
      </c>
      <c r="X63" s="492"/>
      <c r="Y63" s="492"/>
      <c r="Z63" s="507" t="str">
        <f aca="false">Build!AL675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IF(Build!AF676,OFFSET(Spells!B$2,Build!AF676,0),"")</f>
        <v/>
      </c>
      <c r="D64" s="491"/>
      <c r="E64" s="491"/>
      <c r="F64" s="491"/>
      <c r="G64" s="491"/>
      <c r="H64" s="491"/>
      <c r="I64" s="491"/>
      <c r="J64" s="491"/>
      <c r="K64" s="491"/>
      <c r="L64" s="492" t="str">
        <f aca="true">IF(Build!AF676,OFFSET(Spells!C$2,Build!AF676,0),"")</f>
        <v/>
      </c>
      <c r="M64" s="492"/>
      <c r="N64" s="492" t="str">
        <f aca="true">IF(Build!AF676,OFFSET(Spells!D$2,Build!AF676,0),"")</f>
        <v/>
      </c>
      <c r="O64" s="492"/>
      <c r="P64" s="492" t="str">
        <f aca="true">IF(Build!AF676,OFFSET(Spells!E$2,Build!AF676,0),"")</f>
        <v/>
      </c>
      <c r="Q64" s="492"/>
      <c r="R64" s="492" t="str">
        <f aca="true">IF(Build!AF676,OFFSET(Spells!F$2,Build!AF676,0),"")</f>
        <v/>
      </c>
      <c r="S64" s="492"/>
      <c r="T64" s="492" t="str">
        <f aca="true">IF(Build!AF676,OFFSET(Spells!G$2,Build!AF676,0),"")</f>
        <v/>
      </c>
      <c r="U64" s="492"/>
      <c r="V64" s="492"/>
      <c r="W64" s="492" t="str">
        <f aca="true">IF(Build!AF676,OFFSET(Spells!I$2,Build!AF676,0),"")</f>
        <v/>
      </c>
      <c r="X64" s="492"/>
      <c r="Y64" s="492"/>
      <c r="Z64" s="507" t="str">
        <f aca="false">Build!AL676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IF(Build!AF677,OFFSET(Spells!B$2,Build!AF677,0),"")</f>
        <v/>
      </c>
      <c r="D65" s="491"/>
      <c r="E65" s="491"/>
      <c r="F65" s="491"/>
      <c r="G65" s="491"/>
      <c r="H65" s="491"/>
      <c r="I65" s="491"/>
      <c r="J65" s="491"/>
      <c r="K65" s="491"/>
      <c r="L65" s="492" t="str">
        <f aca="true">IF(Build!AF677,OFFSET(Spells!C$2,Build!AF677,0),"")</f>
        <v/>
      </c>
      <c r="M65" s="492"/>
      <c r="N65" s="492" t="str">
        <f aca="true">IF(Build!AF677,OFFSET(Spells!D$2,Build!AF677,0),"")</f>
        <v/>
      </c>
      <c r="O65" s="492"/>
      <c r="P65" s="492" t="str">
        <f aca="true">IF(Build!AF677,OFFSET(Spells!E$2,Build!AF677,0),"")</f>
        <v/>
      </c>
      <c r="Q65" s="492"/>
      <c r="R65" s="492" t="str">
        <f aca="true">IF(Build!AF677,OFFSET(Spells!F$2,Build!AF677,0),"")</f>
        <v/>
      </c>
      <c r="S65" s="492"/>
      <c r="T65" s="492" t="str">
        <f aca="true">IF(Build!AF677,OFFSET(Spells!G$2,Build!AF677,0),"")</f>
        <v/>
      </c>
      <c r="U65" s="492"/>
      <c r="V65" s="492"/>
      <c r="W65" s="492" t="str">
        <f aca="true">IF(Build!AF677,OFFSET(Spells!I$2,Build!AF677,0),"")</f>
        <v/>
      </c>
      <c r="X65" s="492"/>
      <c r="Y65" s="492"/>
      <c r="Z65" s="507" t="str">
        <f aca="false">Build!AL677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IF(Build!AF678,OFFSET(Spells!B$2,Build!AF678,0),"")</f>
        <v/>
      </c>
      <c r="D66" s="491"/>
      <c r="E66" s="491"/>
      <c r="F66" s="491"/>
      <c r="G66" s="491"/>
      <c r="H66" s="491"/>
      <c r="I66" s="491"/>
      <c r="J66" s="491"/>
      <c r="K66" s="491"/>
      <c r="L66" s="492" t="str">
        <f aca="true">IF(Build!AF678,OFFSET(Spells!C$2,Build!AF678,0),"")</f>
        <v/>
      </c>
      <c r="M66" s="492"/>
      <c r="N66" s="492" t="str">
        <f aca="true">IF(Build!AF678,OFFSET(Spells!D$2,Build!AF678,0),"")</f>
        <v/>
      </c>
      <c r="O66" s="492"/>
      <c r="P66" s="492" t="str">
        <f aca="true">IF(Build!AF678,OFFSET(Spells!E$2,Build!AF678,0),"")</f>
        <v/>
      </c>
      <c r="Q66" s="492"/>
      <c r="R66" s="492" t="str">
        <f aca="true">IF(Build!AF678,OFFSET(Spells!F$2,Build!AF678,0),"")</f>
        <v/>
      </c>
      <c r="S66" s="492"/>
      <c r="T66" s="492" t="str">
        <f aca="true">IF(Build!AF678,OFFSET(Spells!G$2,Build!AF678,0),"")</f>
        <v/>
      </c>
      <c r="U66" s="492"/>
      <c r="V66" s="492"/>
      <c r="W66" s="492" t="str">
        <f aca="true">IF(Build!AF678,OFFSET(Spells!I$2,Build!AF678,0),"")</f>
        <v/>
      </c>
      <c r="X66" s="492"/>
      <c r="Y66" s="492"/>
      <c r="Z66" s="507" t="str">
        <f aca="false">Build!AL678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IF(Build!AF679,OFFSET(Spells!B$2,Build!AF679,0),"")</f>
        <v/>
      </c>
      <c r="D67" s="491"/>
      <c r="E67" s="491"/>
      <c r="F67" s="491"/>
      <c r="G67" s="491"/>
      <c r="H67" s="491"/>
      <c r="I67" s="491"/>
      <c r="J67" s="491"/>
      <c r="K67" s="491"/>
      <c r="L67" s="492" t="str">
        <f aca="true">IF(Build!AF679,OFFSET(Spells!C$2,Build!AF679,0),"")</f>
        <v/>
      </c>
      <c r="M67" s="492"/>
      <c r="N67" s="492" t="str">
        <f aca="true">IF(Build!AF679,OFFSET(Spells!D$2,Build!AF679,0),"")</f>
        <v/>
      </c>
      <c r="O67" s="492"/>
      <c r="P67" s="492" t="str">
        <f aca="true">IF(Build!AF679,OFFSET(Spells!E$2,Build!AF679,0),"")</f>
        <v/>
      </c>
      <c r="Q67" s="492"/>
      <c r="R67" s="492" t="str">
        <f aca="true">IF(Build!AF679,OFFSET(Spells!F$2,Build!AF679,0),"")</f>
        <v/>
      </c>
      <c r="S67" s="492"/>
      <c r="T67" s="492" t="str">
        <f aca="true">IF(Build!AF679,OFFSET(Spells!G$2,Build!AF679,0),"")</f>
        <v/>
      </c>
      <c r="U67" s="492"/>
      <c r="V67" s="492"/>
      <c r="W67" s="492" t="str">
        <f aca="true">IF(Build!AF679,OFFSET(Spells!I$2,Build!AF679,0),"")</f>
        <v/>
      </c>
      <c r="X67" s="492"/>
      <c r="Y67" s="492"/>
      <c r="Z67" s="507" t="str">
        <f aca="false">Build!AL679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1" t="str">
        <f aca="true">IF(Build!AF680,OFFSET(Spells!B$2,Build!AF680,0),"")</f>
        <v/>
      </c>
      <c r="D68" s="491"/>
      <c r="E68" s="491"/>
      <c r="F68" s="491"/>
      <c r="G68" s="491"/>
      <c r="H68" s="491"/>
      <c r="I68" s="491"/>
      <c r="J68" s="491"/>
      <c r="K68" s="491"/>
      <c r="L68" s="492" t="str">
        <f aca="true">IF(Build!AF680,OFFSET(Spells!C$2,Build!AF680,0),"")</f>
        <v/>
      </c>
      <c r="M68" s="492"/>
      <c r="N68" s="492" t="str">
        <f aca="true">IF(Build!AF680,OFFSET(Spells!D$2,Build!AF680,0),"")</f>
        <v/>
      </c>
      <c r="O68" s="492"/>
      <c r="P68" s="492" t="str">
        <f aca="true">IF(Build!AF680,OFFSET(Spells!E$2,Build!AF680,0),"")</f>
        <v/>
      </c>
      <c r="Q68" s="492"/>
      <c r="R68" s="492" t="str">
        <f aca="true">IF(Build!AF680,OFFSET(Spells!F$2,Build!AF680,0),"")</f>
        <v/>
      </c>
      <c r="S68" s="492"/>
      <c r="T68" s="492" t="str">
        <f aca="true">IF(Build!AF680,OFFSET(Spells!G$2,Build!AF680,0),"")</f>
        <v/>
      </c>
      <c r="U68" s="492"/>
      <c r="V68" s="492"/>
      <c r="W68" s="492" t="str">
        <f aca="true">IF(Build!AF680,OFFSET(Spells!I$2,Build!AF680,0),"")</f>
        <v/>
      </c>
      <c r="X68" s="492"/>
      <c r="Y68" s="492"/>
      <c r="Z68" s="507" t="str">
        <f aca="false">Build!AL680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0" activeCellId="0" sqref="A30"/>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1195</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1167</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1168</v>
      </c>
      <c r="AL2" s="464"/>
      <c r="AM2" s="464"/>
    </row>
    <row r="3" customFormat="false" ht="11.1" hidden="false" customHeight="true" outlineLevel="0" collapsed="false">
      <c r="A3" s="391" t="s">
        <v>1109</v>
      </c>
      <c r="B3" s="391"/>
      <c r="C3" s="391"/>
      <c r="D3" s="391"/>
      <c r="E3" s="391"/>
      <c r="F3" s="391"/>
      <c r="G3" s="391"/>
      <c r="H3" s="391"/>
      <c r="I3" s="391"/>
      <c r="J3" s="391"/>
      <c r="K3" s="391"/>
      <c r="L3" s="391"/>
      <c r="M3" s="391"/>
      <c r="N3" s="392" t="s">
        <v>1196</v>
      </c>
      <c r="O3" s="392"/>
      <c r="P3" s="392"/>
      <c r="Q3" s="392"/>
      <c r="R3" s="392"/>
      <c r="S3" s="392"/>
      <c r="T3" s="392"/>
      <c r="U3" s="392"/>
      <c r="V3" s="392"/>
      <c r="W3" s="392"/>
      <c r="X3" s="392"/>
      <c r="Y3" s="392"/>
      <c r="Z3" s="392"/>
      <c r="AA3" s="525" t="s">
        <v>1197</v>
      </c>
      <c r="AB3" s="525"/>
      <c r="AC3" s="525"/>
      <c r="AD3" s="525"/>
      <c r="AE3" s="525"/>
      <c r="AF3" s="525"/>
      <c r="AG3" s="525"/>
      <c r="AH3" s="525"/>
      <c r="AI3" s="525"/>
      <c r="AJ3" s="525"/>
      <c r="AK3" s="525"/>
      <c r="AL3" s="525"/>
      <c r="AM3" s="525"/>
    </row>
    <row r="4" customFormat="false" ht="11.1" hidden="false" customHeight="true" outlineLevel="0" collapsed="false">
      <c r="A4" s="526" t="s">
        <v>1198</v>
      </c>
      <c r="B4" s="526"/>
      <c r="C4" s="526"/>
      <c r="D4" s="526"/>
      <c r="E4" s="526"/>
      <c r="F4" s="526"/>
      <c r="G4" s="526"/>
      <c r="H4" s="526"/>
      <c r="I4" s="526"/>
      <c r="J4" s="526"/>
      <c r="K4" s="526"/>
      <c r="L4" s="526"/>
      <c r="M4" s="526"/>
      <c r="N4" s="527"/>
      <c r="O4" s="527"/>
      <c r="P4" s="527"/>
      <c r="Q4" s="527"/>
      <c r="R4" s="527"/>
      <c r="S4" s="527"/>
      <c r="T4" s="527"/>
      <c r="U4" s="527"/>
      <c r="V4" s="527"/>
      <c r="W4" s="527"/>
      <c r="X4" s="527"/>
      <c r="Y4" s="527"/>
      <c r="Z4" s="527"/>
      <c r="AA4" s="528" t="s">
        <v>1199</v>
      </c>
      <c r="AB4" s="528"/>
      <c r="AC4" s="528"/>
      <c r="AD4" s="528"/>
      <c r="AE4" s="528"/>
      <c r="AF4" s="528"/>
      <c r="AG4" s="528"/>
      <c r="AH4" s="528"/>
      <c r="AI4" s="528"/>
      <c r="AJ4" s="529"/>
      <c r="AK4" s="529"/>
      <c r="AL4" s="529"/>
      <c r="AM4" s="529"/>
    </row>
    <row r="5" customFormat="false" ht="11.1" hidden="false" customHeight="true" outlineLevel="0" collapsed="false">
      <c r="A5" s="530"/>
      <c r="B5" s="530"/>
      <c r="C5" s="530"/>
      <c r="D5" s="530"/>
      <c r="E5" s="530"/>
      <c r="F5" s="530"/>
      <c r="G5" s="530"/>
      <c r="H5" s="530"/>
      <c r="I5" s="530"/>
      <c r="J5" s="530"/>
      <c r="K5" s="530"/>
      <c r="L5" s="530"/>
      <c r="M5" s="530"/>
      <c r="N5" s="527"/>
      <c r="O5" s="527"/>
      <c r="P5" s="527"/>
      <c r="Q5" s="527"/>
      <c r="R5" s="527"/>
      <c r="S5" s="527"/>
      <c r="T5" s="527"/>
      <c r="U5" s="527"/>
      <c r="V5" s="527"/>
      <c r="W5" s="527"/>
      <c r="X5" s="527"/>
      <c r="Y5" s="527"/>
      <c r="Z5" s="527"/>
      <c r="AA5" s="528" t="s">
        <v>1200</v>
      </c>
      <c r="AB5" s="528"/>
      <c r="AC5" s="528"/>
      <c r="AD5" s="528"/>
      <c r="AE5" s="528"/>
      <c r="AF5" s="528"/>
      <c r="AG5" s="528"/>
      <c r="AH5" s="528"/>
      <c r="AI5" s="528"/>
      <c r="AJ5" s="529"/>
      <c r="AK5" s="529"/>
      <c r="AL5" s="529"/>
      <c r="AM5" s="529"/>
    </row>
    <row r="6" customFormat="false" ht="11.1" hidden="false" customHeight="true" outlineLevel="0" collapsed="false">
      <c r="A6" s="526" t="s">
        <v>1201</v>
      </c>
      <c r="B6" s="526"/>
      <c r="C6" s="526"/>
      <c r="D6" s="526"/>
      <c r="E6" s="526"/>
      <c r="F6" s="526"/>
      <c r="G6" s="526"/>
      <c r="H6" s="526"/>
      <c r="I6" s="526"/>
      <c r="J6" s="526"/>
      <c r="K6" s="526"/>
      <c r="L6" s="526"/>
      <c r="M6" s="526"/>
      <c r="N6" s="527"/>
      <c r="O6" s="527"/>
      <c r="P6" s="527"/>
      <c r="Q6" s="527"/>
      <c r="R6" s="527"/>
      <c r="S6" s="527"/>
      <c r="T6" s="527"/>
      <c r="U6" s="527"/>
      <c r="V6" s="527"/>
      <c r="W6" s="527"/>
      <c r="X6" s="527"/>
      <c r="Y6" s="527"/>
      <c r="Z6" s="527"/>
      <c r="AA6" s="528" t="s">
        <v>1202</v>
      </c>
      <c r="AB6" s="528"/>
      <c r="AC6" s="528"/>
      <c r="AD6" s="528"/>
      <c r="AE6" s="528"/>
      <c r="AF6" s="528"/>
      <c r="AG6" s="528"/>
      <c r="AH6" s="528"/>
      <c r="AI6" s="528"/>
      <c r="AJ6" s="529"/>
      <c r="AK6" s="529"/>
      <c r="AL6" s="529"/>
      <c r="AM6" s="529"/>
    </row>
    <row r="7" customFormat="false" ht="11.1" hidden="false" customHeight="true" outlineLevel="0" collapsed="false">
      <c r="A7" s="526" t="s">
        <v>1203</v>
      </c>
      <c r="B7" s="526"/>
      <c r="C7" s="526"/>
      <c r="D7" s="526"/>
      <c r="E7" s="526"/>
      <c r="F7" s="526"/>
      <c r="G7" s="526"/>
      <c r="H7" s="526"/>
      <c r="I7" s="526"/>
      <c r="J7" s="526"/>
      <c r="K7" s="526"/>
      <c r="L7" s="526"/>
      <c r="M7" s="526"/>
      <c r="N7" s="527"/>
      <c r="O7" s="527"/>
      <c r="P7" s="527"/>
      <c r="Q7" s="527"/>
      <c r="R7" s="527"/>
      <c r="S7" s="527"/>
      <c r="T7" s="527"/>
      <c r="U7" s="527"/>
      <c r="V7" s="527"/>
      <c r="W7" s="527"/>
      <c r="X7" s="527"/>
      <c r="Y7" s="527"/>
      <c r="Z7" s="527"/>
      <c r="AA7" s="528" t="s">
        <v>1204</v>
      </c>
      <c r="AB7" s="528"/>
      <c r="AC7" s="528"/>
      <c r="AD7" s="528"/>
      <c r="AE7" s="528"/>
      <c r="AF7" s="528"/>
      <c r="AG7" s="528"/>
      <c r="AH7" s="528"/>
      <c r="AI7" s="528"/>
      <c r="AJ7" s="531"/>
      <c r="AK7" s="531"/>
      <c r="AL7" s="529"/>
      <c r="AM7" s="529"/>
    </row>
    <row r="8" customFormat="false" ht="11.1" hidden="false" customHeight="true" outlineLevel="0" collapsed="false">
      <c r="A8" s="526" t="s">
        <v>1205</v>
      </c>
      <c r="B8" s="526"/>
      <c r="C8" s="526"/>
      <c r="D8" s="526"/>
      <c r="E8" s="526"/>
      <c r="F8" s="526"/>
      <c r="G8" s="526"/>
      <c r="H8" s="526"/>
      <c r="I8" s="526"/>
      <c r="J8" s="526"/>
      <c r="K8" s="526"/>
      <c r="L8" s="526"/>
      <c r="M8" s="526"/>
      <c r="N8" s="527"/>
      <c r="O8" s="527"/>
      <c r="P8" s="527"/>
      <c r="Q8" s="527"/>
      <c r="R8" s="527"/>
      <c r="S8" s="527"/>
      <c r="T8" s="527"/>
      <c r="U8" s="527"/>
      <c r="V8" s="527"/>
      <c r="W8" s="527"/>
      <c r="X8" s="527"/>
      <c r="Y8" s="527"/>
      <c r="Z8" s="527"/>
      <c r="AA8" s="528" t="s">
        <v>1206</v>
      </c>
      <c r="AB8" s="528"/>
      <c r="AC8" s="528"/>
      <c r="AD8" s="528"/>
      <c r="AE8" s="528"/>
      <c r="AF8" s="528"/>
      <c r="AG8" s="528"/>
      <c r="AH8" s="528"/>
      <c r="AI8" s="528"/>
      <c r="AJ8" s="531"/>
      <c r="AK8" s="531"/>
      <c r="AL8" s="529"/>
      <c r="AM8" s="529"/>
    </row>
    <row r="9" customFormat="false" ht="11.1" hidden="false" customHeight="true" outlineLevel="0" collapsed="false">
      <c r="A9" s="526" t="s">
        <v>1207</v>
      </c>
      <c r="B9" s="526"/>
      <c r="C9" s="526"/>
      <c r="D9" s="526"/>
      <c r="E9" s="526"/>
      <c r="F9" s="526"/>
      <c r="G9" s="526"/>
      <c r="H9" s="526"/>
      <c r="I9" s="526"/>
      <c r="J9" s="526"/>
      <c r="K9" s="526"/>
      <c r="L9" s="526"/>
      <c r="M9" s="526"/>
      <c r="N9" s="527"/>
      <c r="O9" s="527"/>
      <c r="P9" s="527"/>
      <c r="Q9" s="527"/>
      <c r="R9" s="527"/>
      <c r="S9" s="527"/>
      <c r="T9" s="527"/>
      <c r="U9" s="527"/>
      <c r="V9" s="527"/>
      <c r="W9" s="527"/>
      <c r="X9" s="527"/>
      <c r="Y9" s="527"/>
      <c r="Z9" s="527"/>
      <c r="AA9" s="528" t="s">
        <v>1208</v>
      </c>
      <c r="AB9" s="528"/>
      <c r="AC9" s="528"/>
      <c r="AD9" s="528"/>
      <c r="AE9" s="528"/>
      <c r="AF9" s="528"/>
      <c r="AG9" s="528"/>
      <c r="AH9" s="528"/>
      <c r="AI9" s="528"/>
      <c r="AJ9" s="531"/>
      <c r="AK9" s="531"/>
      <c r="AL9" s="529"/>
      <c r="AM9" s="529"/>
    </row>
    <row r="10" customFormat="false" ht="11.1" hidden="false" customHeight="true" outlineLevel="0" collapsed="false">
      <c r="A10" s="526" t="s">
        <v>190</v>
      </c>
      <c r="B10" s="526"/>
      <c r="C10" s="526"/>
      <c r="D10" s="526"/>
      <c r="E10" s="526"/>
      <c r="F10" s="526"/>
      <c r="G10" s="526"/>
      <c r="H10" s="526"/>
      <c r="I10" s="526"/>
      <c r="J10" s="526"/>
      <c r="K10" s="526"/>
      <c r="L10" s="526"/>
      <c r="M10" s="526"/>
      <c r="N10" s="527"/>
      <c r="O10" s="527"/>
      <c r="P10" s="527"/>
      <c r="Q10" s="527"/>
      <c r="R10" s="527"/>
      <c r="S10" s="527"/>
      <c r="T10" s="527"/>
      <c r="U10" s="527"/>
      <c r="V10" s="527"/>
      <c r="W10" s="527"/>
      <c r="X10" s="527"/>
      <c r="Y10" s="527"/>
      <c r="Z10" s="527"/>
      <c r="AA10" s="528" t="s">
        <v>1209</v>
      </c>
      <c r="AB10" s="528"/>
      <c r="AC10" s="528"/>
      <c r="AD10" s="528"/>
      <c r="AE10" s="528"/>
      <c r="AF10" s="528"/>
      <c r="AG10" s="528"/>
      <c r="AH10" s="528"/>
      <c r="AI10" s="528"/>
      <c r="AJ10" s="532"/>
      <c r="AK10" s="532"/>
      <c r="AL10" s="533"/>
      <c r="AM10" s="533"/>
    </row>
    <row r="11" customFormat="false" ht="11.1" hidden="false" customHeight="true" outlineLevel="0" collapsed="false">
      <c r="A11" s="530"/>
      <c r="B11" s="530"/>
      <c r="C11" s="530"/>
      <c r="D11" s="530"/>
      <c r="E11" s="530"/>
      <c r="F11" s="530"/>
      <c r="G11" s="530"/>
      <c r="H11" s="530"/>
      <c r="I11" s="530"/>
      <c r="J11" s="530"/>
      <c r="K11" s="530"/>
      <c r="L11" s="530"/>
      <c r="M11" s="530"/>
      <c r="N11" s="527"/>
      <c r="O11" s="527"/>
      <c r="P11" s="527"/>
      <c r="Q11" s="527"/>
      <c r="R11" s="527"/>
      <c r="S11" s="527"/>
      <c r="T11" s="527"/>
      <c r="U11" s="527"/>
      <c r="V11" s="527"/>
      <c r="W11" s="527"/>
      <c r="X11" s="527"/>
      <c r="Y11" s="527"/>
      <c r="Z11" s="527"/>
      <c r="AA11" s="528" t="s">
        <v>1210</v>
      </c>
      <c r="AB11" s="528"/>
      <c r="AC11" s="528"/>
      <c r="AD11" s="528"/>
      <c r="AE11" s="528"/>
      <c r="AF11" s="528"/>
      <c r="AG11" s="528"/>
      <c r="AH11" s="528"/>
      <c r="AI11" s="528"/>
      <c r="AJ11" s="529"/>
      <c r="AK11" s="529"/>
      <c r="AL11" s="529"/>
      <c r="AM11" s="529"/>
    </row>
    <row r="12" customFormat="false" ht="11.1" hidden="false" customHeight="true" outlineLevel="0" collapsed="false">
      <c r="A12" s="534"/>
      <c r="B12" s="534"/>
      <c r="C12" s="534"/>
      <c r="D12" s="534"/>
      <c r="E12" s="534"/>
      <c r="F12" s="534"/>
      <c r="G12" s="534"/>
      <c r="H12" s="534"/>
      <c r="I12" s="534"/>
      <c r="J12" s="534"/>
      <c r="K12" s="534"/>
      <c r="L12" s="534"/>
      <c r="M12" s="534"/>
      <c r="N12" s="527"/>
      <c r="O12" s="527"/>
      <c r="P12" s="527"/>
      <c r="Q12" s="527"/>
      <c r="R12" s="527"/>
      <c r="S12" s="527"/>
      <c r="T12" s="527"/>
      <c r="U12" s="527"/>
      <c r="V12" s="527"/>
      <c r="W12" s="527"/>
      <c r="X12" s="527"/>
      <c r="Y12" s="527"/>
      <c r="Z12" s="527"/>
      <c r="AA12" s="528" t="s">
        <v>1211</v>
      </c>
      <c r="AB12" s="528"/>
      <c r="AC12" s="528"/>
      <c r="AD12" s="528"/>
      <c r="AE12" s="528"/>
      <c r="AF12" s="528"/>
      <c r="AG12" s="528"/>
      <c r="AH12" s="528"/>
      <c r="AI12" s="528"/>
      <c r="AJ12" s="529"/>
      <c r="AK12" s="529"/>
      <c r="AL12" s="529"/>
      <c r="AM12" s="529"/>
    </row>
    <row r="13" customFormat="false" ht="11.1" hidden="false" customHeight="true" outlineLevel="0" collapsed="false">
      <c r="A13" s="530"/>
      <c r="B13" s="530"/>
      <c r="C13" s="530"/>
      <c r="D13" s="530"/>
      <c r="E13" s="530"/>
      <c r="F13" s="530"/>
      <c r="G13" s="530"/>
      <c r="H13" s="530"/>
      <c r="I13" s="530"/>
      <c r="J13" s="530"/>
      <c r="K13" s="530"/>
      <c r="L13" s="530"/>
      <c r="M13" s="530"/>
      <c r="N13" s="526"/>
      <c r="O13" s="526"/>
      <c r="P13" s="526"/>
      <c r="Q13" s="526"/>
      <c r="R13" s="526"/>
      <c r="S13" s="526"/>
      <c r="T13" s="526"/>
      <c r="U13" s="526"/>
      <c r="V13" s="526"/>
      <c r="W13" s="526"/>
      <c r="X13" s="526"/>
      <c r="Y13" s="526"/>
      <c r="Z13" s="526"/>
      <c r="AA13" s="528" t="s">
        <v>1212</v>
      </c>
      <c r="AB13" s="528"/>
      <c r="AC13" s="528"/>
      <c r="AD13" s="528"/>
      <c r="AE13" s="528"/>
      <c r="AF13" s="528"/>
      <c r="AG13" s="528"/>
      <c r="AH13" s="528"/>
      <c r="AI13" s="528"/>
      <c r="AJ13" s="529"/>
      <c r="AK13" s="529"/>
      <c r="AL13" s="529"/>
      <c r="AM13" s="529"/>
    </row>
    <row r="14" customFormat="false" ht="11.1" hidden="false" customHeight="true" outlineLevel="0" collapsed="false">
      <c r="A14" s="347" t="s">
        <v>1155</v>
      </c>
      <c r="B14" s="347"/>
      <c r="C14" s="347"/>
      <c r="D14" s="347"/>
      <c r="E14" s="347"/>
      <c r="F14" s="347"/>
      <c r="G14" s="347"/>
      <c r="H14" s="347"/>
      <c r="I14" s="347"/>
      <c r="J14" s="347"/>
      <c r="K14" s="347"/>
      <c r="L14" s="347"/>
      <c r="M14" s="347"/>
      <c r="N14" s="535"/>
      <c r="O14" s="535"/>
      <c r="P14" s="535"/>
      <c r="Q14" s="535"/>
      <c r="R14" s="535"/>
      <c r="S14" s="535"/>
      <c r="T14" s="535"/>
      <c r="U14" s="535"/>
      <c r="V14" s="535"/>
      <c r="W14" s="535"/>
      <c r="X14" s="535"/>
      <c r="Y14" s="535"/>
      <c r="Z14" s="535"/>
      <c r="AA14" s="536" t="s">
        <v>1213</v>
      </c>
      <c r="AB14" s="536"/>
      <c r="AC14" s="536"/>
      <c r="AD14" s="536"/>
      <c r="AE14" s="536"/>
      <c r="AF14" s="536"/>
      <c r="AG14" s="536"/>
      <c r="AH14" s="536"/>
      <c r="AI14" s="536"/>
      <c r="AJ14" s="529"/>
      <c r="AK14" s="529"/>
      <c r="AL14" s="529"/>
      <c r="AM14" s="529"/>
    </row>
    <row r="15" customFormat="false" ht="11.1" hidden="false" customHeight="true" outlineLevel="0" collapsed="false">
      <c r="A15" s="537" t="s">
        <v>1214</v>
      </c>
      <c r="B15" s="537"/>
      <c r="C15" s="537"/>
      <c r="D15" s="537"/>
      <c r="E15" s="537"/>
      <c r="F15" s="537"/>
      <c r="G15" s="537"/>
      <c r="H15" s="537"/>
      <c r="I15" s="537"/>
      <c r="J15" s="537"/>
      <c r="K15" s="537"/>
      <c r="L15" s="538"/>
      <c r="M15" s="538"/>
      <c r="N15" s="535"/>
      <c r="O15" s="535"/>
      <c r="P15" s="535"/>
      <c r="Q15" s="535"/>
      <c r="R15" s="535"/>
      <c r="S15" s="535"/>
      <c r="T15" s="535"/>
      <c r="U15" s="535"/>
      <c r="V15" s="535"/>
      <c r="W15" s="535"/>
      <c r="X15" s="535"/>
      <c r="Y15" s="535"/>
      <c r="Z15" s="535"/>
      <c r="AA15" s="539"/>
      <c r="AB15" s="539"/>
      <c r="AC15" s="539"/>
      <c r="AD15" s="539"/>
      <c r="AE15" s="539"/>
      <c r="AF15" s="539"/>
      <c r="AG15" s="539"/>
      <c r="AH15" s="539"/>
      <c r="AI15" s="539"/>
      <c r="AJ15" s="529"/>
      <c r="AK15" s="529"/>
      <c r="AL15" s="529"/>
      <c r="AM15" s="529"/>
    </row>
    <row r="16" customFormat="false" ht="11.1" hidden="false" customHeight="true" outlineLevel="0" collapsed="false">
      <c r="A16" s="539"/>
      <c r="B16" s="539"/>
      <c r="C16" s="539"/>
      <c r="D16" s="539"/>
      <c r="E16" s="539"/>
      <c r="F16" s="539"/>
      <c r="G16" s="539"/>
      <c r="H16" s="539"/>
      <c r="I16" s="539"/>
      <c r="J16" s="539"/>
      <c r="K16" s="539"/>
      <c r="L16" s="529"/>
      <c r="M16" s="529"/>
      <c r="N16" s="535"/>
      <c r="O16" s="535"/>
      <c r="P16" s="535"/>
      <c r="Q16" s="535"/>
      <c r="R16" s="535"/>
      <c r="S16" s="535"/>
      <c r="T16" s="535"/>
      <c r="U16" s="535"/>
      <c r="V16" s="535"/>
      <c r="W16" s="535"/>
      <c r="X16" s="535"/>
      <c r="Y16" s="535"/>
      <c r="Z16" s="535"/>
      <c r="AA16" s="539"/>
      <c r="AB16" s="539"/>
      <c r="AC16" s="539"/>
      <c r="AD16" s="539"/>
      <c r="AE16" s="539"/>
      <c r="AF16" s="539"/>
      <c r="AG16" s="539"/>
      <c r="AH16" s="539"/>
      <c r="AI16" s="539"/>
      <c r="AJ16" s="529"/>
      <c r="AK16" s="529"/>
      <c r="AL16" s="529"/>
      <c r="AM16" s="529"/>
    </row>
    <row r="17" customFormat="false" ht="11.1" hidden="false" customHeight="true" outlineLevel="0" collapsed="false">
      <c r="A17" s="539"/>
      <c r="B17" s="539"/>
      <c r="C17" s="539"/>
      <c r="D17" s="539"/>
      <c r="E17" s="539"/>
      <c r="F17" s="539"/>
      <c r="G17" s="539"/>
      <c r="H17" s="539"/>
      <c r="I17" s="539"/>
      <c r="J17" s="539"/>
      <c r="K17" s="539"/>
      <c r="L17" s="529"/>
      <c r="M17" s="529"/>
      <c r="N17" s="535"/>
      <c r="O17" s="535"/>
      <c r="P17" s="535"/>
      <c r="Q17" s="535"/>
      <c r="R17" s="535"/>
      <c r="S17" s="535"/>
      <c r="T17" s="535"/>
      <c r="U17" s="535"/>
      <c r="V17" s="535"/>
      <c r="W17" s="535"/>
      <c r="X17" s="535"/>
      <c r="Y17" s="535"/>
      <c r="Z17" s="535"/>
      <c r="AA17" s="539"/>
      <c r="AB17" s="539"/>
      <c r="AC17" s="539"/>
      <c r="AD17" s="539"/>
      <c r="AE17" s="539"/>
      <c r="AF17" s="539"/>
      <c r="AG17" s="539"/>
      <c r="AH17" s="539"/>
      <c r="AI17" s="539"/>
      <c r="AJ17" s="529"/>
      <c r="AK17" s="529"/>
      <c r="AL17" s="529"/>
      <c r="AM17" s="529"/>
    </row>
    <row r="18" customFormat="false" ht="11.1" hidden="false" customHeight="true" outlineLevel="0" collapsed="false">
      <c r="A18" s="540"/>
      <c r="B18" s="540"/>
      <c r="C18" s="540"/>
      <c r="D18" s="540"/>
      <c r="E18" s="540"/>
      <c r="F18" s="540"/>
      <c r="G18" s="540"/>
      <c r="H18" s="540"/>
      <c r="I18" s="540"/>
      <c r="J18" s="540"/>
      <c r="K18" s="540"/>
      <c r="L18" s="541"/>
      <c r="M18" s="541"/>
      <c r="N18" s="542"/>
      <c r="O18" s="542"/>
      <c r="P18" s="542"/>
      <c r="Q18" s="542"/>
      <c r="R18" s="542"/>
      <c r="S18" s="542"/>
      <c r="T18" s="542"/>
      <c r="U18" s="542"/>
      <c r="V18" s="542"/>
      <c r="W18" s="542"/>
      <c r="X18" s="542"/>
      <c r="Y18" s="542"/>
      <c r="Z18" s="542"/>
      <c r="AA18" s="543"/>
      <c r="AB18" s="543"/>
      <c r="AC18" s="543"/>
      <c r="AD18" s="543"/>
      <c r="AE18" s="543"/>
      <c r="AF18" s="543"/>
      <c r="AG18" s="543"/>
      <c r="AH18" s="543"/>
      <c r="AI18" s="543"/>
      <c r="AJ18" s="544"/>
      <c r="AK18" s="544"/>
      <c r="AL18" s="544"/>
      <c r="AM18" s="544"/>
    </row>
    <row r="19" customFormat="false" ht="11.1" hidden="false" customHeight="true" outlineLevel="0" collapsed="false">
      <c r="A19" s="386" t="s">
        <v>1215</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545" t="s">
        <v>1216</v>
      </c>
      <c r="AG19" s="545"/>
      <c r="AH19" s="545"/>
      <c r="AI19" s="545"/>
      <c r="AJ19" s="545"/>
      <c r="AK19" s="545"/>
      <c r="AL19" s="545"/>
      <c r="AM19" s="545"/>
    </row>
    <row r="20" customFormat="false" ht="11.1" hidden="false" customHeight="true" outlineLevel="0" collapsed="false">
      <c r="A20" s="526" t="s">
        <v>1217</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row>
    <row r="21" customFormat="false" ht="11.1" hidden="false" customHeight="true" outlineLevel="0" collapsed="false">
      <c r="A21" s="526" t="s">
        <v>1218</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row>
    <row r="22" customFormat="false" ht="11.1" hidden="false" customHeight="true" outlineLevel="0" collapsed="false">
      <c r="A22" s="546" t="s">
        <v>1219</v>
      </c>
      <c r="B22" s="546"/>
      <c r="C22" s="546"/>
      <c r="D22" s="546"/>
      <c r="E22" s="546"/>
      <c r="F22" s="546"/>
      <c r="G22" s="533" t="s">
        <v>1220</v>
      </c>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row>
    <row r="23" customFormat="false" ht="11.1" hidden="false" customHeight="true" outlineLevel="0" collapsed="false">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row>
    <row r="24" customFormat="false" ht="11.1" hidden="false" customHeight="true" outlineLevel="0" collapsed="false">
      <c r="A24" s="386" t="s">
        <v>1221</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545" t="s">
        <v>1216</v>
      </c>
      <c r="AG24" s="545"/>
      <c r="AH24" s="545"/>
      <c r="AI24" s="545"/>
      <c r="AJ24" s="545"/>
      <c r="AK24" s="545"/>
      <c r="AL24" s="545"/>
      <c r="AM24" s="545"/>
    </row>
    <row r="25" customFormat="false" ht="11.1" hidden="false" customHeight="true" outlineLevel="0" collapsed="false">
      <c r="A25" s="526" t="s">
        <v>1217</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row>
    <row r="26" customFormat="false" ht="11.1" hidden="false" customHeight="true" outlineLevel="0" collapsed="false">
      <c r="A26" s="526" t="s">
        <v>1218</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row>
    <row r="27" customFormat="false" ht="11.1" hidden="false" customHeight="true" outlineLevel="0" collapsed="false">
      <c r="A27" s="546" t="s">
        <v>1222</v>
      </c>
      <c r="B27" s="546"/>
      <c r="C27" s="546"/>
      <c r="D27" s="546"/>
      <c r="E27" s="546"/>
      <c r="F27" s="546"/>
      <c r="G27" s="533" t="s">
        <v>1220</v>
      </c>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row>
    <row r="28" customFormat="false" ht="11.1" hidden="false" customHeight="true" outlineLevel="0" collapsed="false">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row>
    <row r="29" customFormat="false" ht="11.1" hidden="false" customHeight="true" outlineLevel="0" collapsed="false">
      <c r="A29" s="386" t="s">
        <v>1223</v>
      </c>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545" t="s">
        <v>1216</v>
      </c>
      <c r="AG29" s="545"/>
      <c r="AH29" s="545"/>
      <c r="AI29" s="545"/>
      <c r="AJ29" s="545"/>
      <c r="AK29" s="545"/>
      <c r="AL29" s="545"/>
      <c r="AM29" s="545"/>
    </row>
    <row r="30" customFormat="false" ht="11.1" hidden="false" customHeight="true" outlineLevel="0" collapsed="false">
      <c r="A30" s="526" t="s">
        <v>1217</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row>
    <row r="31" customFormat="false" ht="11.1" hidden="false" customHeight="true" outlineLevel="0" collapsed="false">
      <c r="A31" s="526" t="s">
        <v>1218</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row>
    <row r="32" customFormat="false" ht="11.1" hidden="false" customHeight="true" outlineLevel="0" collapsed="false">
      <c r="A32" s="546" t="s">
        <v>1224</v>
      </c>
      <c r="B32" s="546"/>
      <c r="C32" s="546"/>
      <c r="D32" s="546"/>
      <c r="E32" s="546"/>
      <c r="F32" s="546"/>
      <c r="G32" s="533" t="s">
        <v>1220</v>
      </c>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row>
    <row r="33" customFormat="false" ht="11.1" hidden="false" customHeight="true" outlineLevel="0" collapsed="false">
      <c r="A33" s="542"/>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row>
    <row r="34" customFormat="false" ht="11.1" hidden="false" customHeight="true" outlineLevel="0" collapsed="false">
      <c r="A34" s="547" t="s">
        <v>1225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8" t="s">
        <v>1216</v>
      </c>
      <c r="AG34" s="548"/>
      <c r="AH34" s="548"/>
      <c r="AI34" s="548"/>
      <c r="AJ34" s="548"/>
      <c r="AK34" s="548"/>
      <c r="AL34" s="548"/>
      <c r="AM34" s="548"/>
    </row>
    <row r="35" customFormat="false" ht="11.1" hidden="false" customHeight="true" outlineLevel="0" collapsed="false">
      <c r="A35" s="526" t="s">
        <v>1217</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row>
    <row r="36" customFormat="false" ht="11.1" hidden="false" customHeight="true" outlineLevel="0" collapsed="false">
      <c r="A36" s="526" t="s">
        <v>1218</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row>
    <row r="37" customFormat="false" ht="11.1" hidden="false" customHeight="true" outlineLevel="0" collapsed="false">
      <c r="A37" s="546" t="s">
        <v>1226</v>
      </c>
      <c r="B37" s="546"/>
      <c r="C37" s="546"/>
      <c r="D37" s="546"/>
      <c r="E37" s="546"/>
      <c r="F37" s="546"/>
      <c r="G37" s="533" t="s">
        <v>1220</v>
      </c>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row>
    <row r="38" customFormat="false" ht="11.1" hidden="false" customHeight="true" outlineLevel="0" collapsed="false">
      <c r="A38" s="542"/>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row>
    <row r="39" customFormat="false" ht="11.1" hidden="false" customHeight="true" outlineLevel="0" collapsed="false">
      <c r="A39" s="547" t="s">
        <v>1227</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8" t="s">
        <v>1216</v>
      </c>
      <c r="AG39" s="548"/>
      <c r="AH39" s="548"/>
      <c r="AI39" s="548"/>
      <c r="AJ39" s="548"/>
      <c r="AK39" s="548"/>
      <c r="AL39" s="548"/>
      <c r="AM39" s="548"/>
    </row>
    <row r="40" customFormat="false" ht="11.1" hidden="false" customHeight="true" outlineLevel="0" collapsed="false">
      <c r="A40" s="526" t="s">
        <v>1217</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row>
    <row r="41" customFormat="false" ht="11.1" hidden="false" customHeight="true" outlineLevel="0" collapsed="false">
      <c r="A41" s="526" t="s">
        <v>1218</v>
      </c>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row>
    <row r="42" customFormat="false" ht="11.1" hidden="false" customHeight="true" outlineLevel="0" collapsed="false">
      <c r="A42" s="546" t="s">
        <v>1228</v>
      </c>
      <c r="B42" s="546"/>
      <c r="C42" s="546"/>
      <c r="D42" s="546"/>
      <c r="E42" s="546"/>
      <c r="F42" s="546"/>
      <c r="G42" s="533" t="s">
        <v>1220</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row>
    <row r="43" customFormat="false" ht="11.1" hidden="false" customHeight="true" outlineLevel="0" collapsed="false">
      <c r="A43" s="542"/>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row>
    <row r="44" customFormat="false" ht="11.1" hidden="false" customHeight="true" outlineLevel="0" collapsed="false">
      <c r="A44" s="547" t="s">
        <v>1229</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8" t="s">
        <v>1216</v>
      </c>
      <c r="AG44" s="548"/>
      <c r="AH44" s="548"/>
      <c r="AI44" s="548"/>
      <c r="AJ44" s="548"/>
      <c r="AK44" s="548"/>
      <c r="AL44" s="548"/>
      <c r="AM44" s="548"/>
    </row>
    <row r="45" customFormat="false" ht="11.1" hidden="false" customHeight="true" outlineLevel="0" collapsed="false">
      <c r="A45" s="526" t="s">
        <v>1217</v>
      </c>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row>
    <row r="46" customFormat="false" ht="11.1" hidden="false" customHeight="true" outlineLevel="0" collapsed="false">
      <c r="A46" s="526" t="s">
        <v>1218</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row>
    <row r="47" customFormat="false" ht="11.1" hidden="false" customHeight="true" outlineLevel="0" collapsed="false">
      <c r="A47" s="546" t="s">
        <v>1230</v>
      </c>
      <c r="B47" s="546"/>
      <c r="C47" s="546"/>
      <c r="D47" s="546"/>
      <c r="E47" s="546"/>
      <c r="F47" s="546"/>
      <c r="G47" s="533" t="s">
        <v>1220</v>
      </c>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row>
    <row r="48" customFormat="false" ht="11.1" hidden="false" customHeight="true" outlineLevel="0" collapsed="false">
      <c r="A48" s="542"/>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row>
    <row r="49" customFormat="false" ht="11.1" hidden="false" customHeight="true" outlineLevel="0" collapsed="false">
      <c r="A49" s="547" t="s">
        <v>1231</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8" t="s">
        <v>1216</v>
      </c>
      <c r="AG49" s="548"/>
      <c r="AH49" s="548"/>
      <c r="AI49" s="548"/>
      <c r="AJ49" s="548"/>
      <c r="AK49" s="548"/>
      <c r="AL49" s="548"/>
      <c r="AM49" s="548"/>
    </row>
    <row r="50" customFormat="false" ht="11.1" hidden="false" customHeight="true" outlineLevel="0" collapsed="false">
      <c r="A50" s="526" t="s">
        <v>1217</v>
      </c>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row>
    <row r="51" customFormat="false" ht="11.1" hidden="false" customHeight="true" outlineLevel="0" collapsed="false">
      <c r="A51" s="526" t="s">
        <v>1218</v>
      </c>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row>
    <row r="52" customFormat="false" ht="11.1" hidden="false" customHeight="true" outlineLevel="0" collapsed="false">
      <c r="A52" s="546" t="s">
        <v>1232</v>
      </c>
      <c r="B52" s="546"/>
      <c r="C52" s="546"/>
      <c r="D52" s="546"/>
      <c r="E52" s="546"/>
      <c r="F52" s="546"/>
      <c r="G52" s="533" t="s">
        <v>1220</v>
      </c>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customFormat="false" ht="11.1" hidden="false" customHeight="true" outlineLevel="0" collapsed="false">
      <c r="A53" s="542"/>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row>
    <row r="54" customFormat="false" ht="11.1" hidden="false" customHeight="true" outlineLevel="0" collapsed="false">
      <c r="A54" s="547" t="s">
        <v>1233</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8" t="s">
        <v>1216</v>
      </c>
      <c r="AG54" s="548"/>
      <c r="AH54" s="548"/>
      <c r="AI54" s="548"/>
      <c r="AJ54" s="548"/>
      <c r="AK54" s="548"/>
      <c r="AL54" s="548"/>
      <c r="AM54" s="548"/>
    </row>
    <row r="55" customFormat="false" ht="11.1" hidden="false" customHeight="true" outlineLevel="0" collapsed="false">
      <c r="A55" s="526" t="s">
        <v>1217</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row>
    <row r="56" customFormat="false" ht="11.1" hidden="false" customHeight="true" outlineLevel="0" collapsed="false">
      <c r="A56" s="526" t="s">
        <v>1218</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row>
    <row r="57" customFormat="false" ht="11.1" hidden="false" customHeight="true" outlineLevel="0" collapsed="false">
      <c r="A57" s="546" t="s">
        <v>1234</v>
      </c>
      <c r="B57" s="546"/>
      <c r="C57" s="546"/>
      <c r="D57" s="546"/>
      <c r="E57" s="546"/>
      <c r="F57" s="546"/>
      <c r="G57" s="533" t="s">
        <v>1220</v>
      </c>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row>
    <row r="58" customFormat="false" ht="11.1" hidden="false" customHeight="true" outlineLevel="0" collapsed="false">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row>
    <row r="59" customFormat="false" ht="11.1" hidden="false" customHeight="true" outlineLevel="0" collapsed="false">
      <c r="A59" s="547" t="s">
        <v>1235</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8" t="s">
        <v>1216</v>
      </c>
      <c r="AG59" s="548"/>
      <c r="AH59" s="548"/>
      <c r="AI59" s="548"/>
      <c r="AJ59" s="548"/>
      <c r="AK59" s="548"/>
      <c r="AL59" s="548"/>
      <c r="AM59" s="548"/>
    </row>
    <row r="60" customFormat="false" ht="11.1" hidden="false" customHeight="true" outlineLevel="0" collapsed="false">
      <c r="A60" s="526" t="s">
        <v>1217</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row>
    <row r="61" customFormat="false" ht="11.1" hidden="false" customHeight="true" outlineLevel="0" collapsed="false">
      <c r="A61" s="526" t="s">
        <v>1218</v>
      </c>
      <c r="B61" s="526"/>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row>
    <row r="62" customFormat="false" ht="11.1" hidden="false" customHeight="true" outlineLevel="0" collapsed="false">
      <c r="A62" s="546" t="s">
        <v>1236</v>
      </c>
      <c r="B62" s="546"/>
      <c r="C62" s="546"/>
      <c r="D62" s="546"/>
      <c r="E62" s="546"/>
      <c r="F62" s="546"/>
      <c r="G62" s="533" t="s">
        <v>1220</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row>
    <row r="63" customFormat="false" ht="11.1" hidden="false" customHeight="true" outlineLevel="0" collapsed="false">
      <c r="A63" s="542"/>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row>
    <row r="64" customFormat="false" ht="11.1" hidden="false" customHeight="true" outlineLevel="0" collapsed="false">
      <c r="A64" s="547" t="s">
        <v>1237</v>
      </c>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8" t="s">
        <v>1216</v>
      </c>
      <c r="AG64" s="548"/>
      <c r="AH64" s="548"/>
      <c r="AI64" s="548"/>
      <c r="AJ64" s="548"/>
      <c r="AK64" s="548"/>
      <c r="AL64" s="548"/>
      <c r="AM64" s="548"/>
    </row>
    <row r="65" customFormat="false" ht="11.1" hidden="false" customHeight="true" outlineLevel="0" collapsed="false">
      <c r="A65" s="526" t="s">
        <v>1217</v>
      </c>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row>
    <row r="66" customFormat="false" ht="11.1" hidden="false" customHeight="true" outlineLevel="0" collapsed="false">
      <c r="A66" s="526" t="s">
        <v>1218</v>
      </c>
      <c r="B66" s="526"/>
      <c r="C66" s="526"/>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row>
    <row r="67" customFormat="false" ht="11.1" hidden="false" customHeight="true" outlineLevel="0" collapsed="false">
      <c r="A67" s="549" t="s">
        <v>1238</v>
      </c>
      <c r="B67" s="549"/>
      <c r="C67" s="549"/>
      <c r="D67" s="549"/>
      <c r="E67" s="549"/>
      <c r="F67" s="549"/>
      <c r="G67" s="550" t="s">
        <v>1220</v>
      </c>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row>
    <row r="68" customFormat="false" ht="11.1" hidden="false" customHeight="true" outlineLevel="0" collapsed="false">
      <c r="A68" s="542"/>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row>
  </sheetData>
  <mergeCells count="144">
    <mergeCell ref="A1:AM1"/>
    <mergeCell ref="A2:AJ2"/>
    <mergeCell ref="AK2:AM2"/>
    <mergeCell ref="A3:M3"/>
    <mergeCell ref="N3:Z3"/>
    <mergeCell ref="AA3:AM3"/>
    <mergeCell ref="A4:M4"/>
    <mergeCell ref="N4:Z4"/>
    <mergeCell ref="AA4:AI4"/>
    <mergeCell ref="AJ4:AM4"/>
    <mergeCell ref="A5:M5"/>
    <mergeCell ref="N5:Z5"/>
    <mergeCell ref="AA5:AI5"/>
    <mergeCell ref="AJ5:AM5"/>
    <mergeCell ref="A6:M6"/>
    <mergeCell ref="N6:Z6"/>
    <mergeCell ref="AA6:AI6"/>
    <mergeCell ref="AJ6:AM6"/>
    <mergeCell ref="A7:M7"/>
    <mergeCell ref="N7:Z7"/>
    <mergeCell ref="AA7:AI7"/>
    <mergeCell ref="AJ7:AK7"/>
    <mergeCell ref="AL7:AM7"/>
    <mergeCell ref="A8:M8"/>
    <mergeCell ref="N8:Z8"/>
    <mergeCell ref="AA8:AI8"/>
    <mergeCell ref="AJ8:AK8"/>
    <mergeCell ref="AL8:AM8"/>
    <mergeCell ref="A9:M9"/>
    <mergeCell ref="N9:Z9"/>
    <mergeCell ref="AA9:AI9"/>
    <mergeCell ref="AJ9:AK9"/>
    <mergeCell ref="AL9:AM9"/>
    <mergeCell ref="A10:M10"/>
    <mergeCell ref="N10:Z10"/>
    <mergeCell ref="AA10:AI10"/>
    <mergeCell ref="AJ10:AK10"/>
    <mergeCell ref="AL10:AM10"/>
    <mergeCell ref="A11:M11"/>
    <mergeCell ref="N11:Z11"/>
    <mergeCell ref="AA11:AI11"/>
    <mergeCell ref="AJ11:AM11"/>
    <mergeCell ref="A12:M12"/>
    <mergeCell ref="N12:Z12"/>
    <mergeCell ref="AA12:AI12"/>
    <mergeCell ref="AJ12:AM12"/>
    <mergeCell ref="A13:M13"/>
    <mergeCell ref="N13:Z13"/>
    <mergeCell ref="AA13:AI13"/>
    <mergeCell ref="AJ13:AM13"/>
    <mergeCell ref="A14:M14"/>
    <mergeCell ref="N14:Z14"/>
    <mergeCell ref="AA14:AI14"/>
    <mergeCell ref="AJ14:AM14"/>
    <mergeCell ref="A15:K15"/>
    <mergeCell ref="L15:M15"/>
    <mergeCell ref="N15:Z15"/>
    <mergeCell ref="AA15:AI15"/>
    <mergeCell ref="AJ15:AM15"/>
    <mergeCell ref="A16:K16"/>
    <mergeCell ref="L16:M16"/>
    <mergeCell ref="N16:Z16"/>
    <mergeCell ref="AA16:AI16"/>
    <mergeCell ref="AJ16:AM16"/>
    <mergeCell ref="A17:K17"/>
    <mergeCell ref="L17:M17"/>
    <mergeCell ref="N17:Z17"/>
    <mergeCell ref="AA17:AI17"/>
    <mergeCell ref="AJ17:AM17"/>
    <mergeCell ref="A18:K18"/>
    <mergeCell ref="L18:M18"/>
    <mergeCell ref="N18:Z18"/>
    <mergeCell ref="AA18:AI18"/>
    <mergeCell ref="AJ18:AM18"/>
    <mergeCell ref="A19:AE19"/>
    <mergeCell ref="AF19:AM19"/>
    <mergeCell ref="A20:AM20"/>
    <mergeCell ref="A21:AM21"/>
    <mergeCell ref="A22:F22"/>
    <mergeCell ref="G22:AM22"/>
    <mergeCell ref="A23:AM23"/>
    <mergeCell ref="A24:AE24"/>
    <mergeCell ref="AF24:AM24"/>
    <mergeCell ref="A25:AM25"/>
    <mergeCell ref="A26:AM26"/>
    <mergeCell ref="A27:F27"/>
    <mergeCell ref="G27:AM27"/>
    <mergeCell ref="A28:AM28"/>
    <mergeCell ref="A29:AE29"/>
    <mergeCell ref="AF29:AM29"/>
    <mergeCell ref="A30:AM30"/>
    <mergeCell ref="A31:AM31"/>
    <mergeCell ref="A32:F32"/>
    <mergeCell ref="G32:AM32"/>
    <mergeCell ref="A33:AM33"/>
    <mergeCell ref="A34:AE34"/>
    <mergeCell ref="AF34:AM34"/>
    <mergeCell ref="A35:AM35"/>
    <mergeCell ref="A36:AM36"/>
    <mergeCell ref="A37:F37"/>
    <mergeCell ref="G37:AM37"/>
    <mergeCell ref="A38:AM38"/>
    <mergeCell ref="A39:AE39"/>
    <mergeCell ref="AF39:AM39"/>
    <mergeCell ref="A40:AM40"/>
    <mergeCell ref="A41:AM41"/>
    <mergeCell ref="A42:F42"/>
    <mergeCell ref="G42:AM42"/>
    <mergeCell ref="A43:AM43"/>
    <mergeCell ref="A44:AE44"/>
    <mergeCell ref="AF44:AM44"/>
    <mergeCell ref="A45:AM45"/>
    <mergeCell ref="A46:AM46"/>
    <mergeCell ref="A47:F47"/>
    <mergeCell ref="G47:AM47"/>
    <mergeCell ref="A48:AM48"/>
    <mergeCell ref="A49:AE49"/>
    <mergeCell ref="AF49:AM49"/>
    <mergeCell ref="A50:AM50"/>
    <mergeCell ref="A51:AM51"/>
    <mergeCell ref="A52:F52"/>
    <mergeCell ref="G52:AM52"/>
    <mergeCell ref="A53:AM53"/>
    <mergeCell ref="A54:AE54"/>
    <mergeCell ref="AF54:AM54"/>
    <mergeCell ref="A55:AM55"/>
    <mergeCell ref="A56:AM56"/>
    <mergeCell ref="A57:F57"/>
    <mergeCell ref="G57:AM57"/>
    <mergeCell ref="A58:AM58"/>
    <mergeCell ref="A59:AE59"/>
    <mergeCell ref="AF59:AM59"/>
    <mergeCell ref="A60:AM60"/>
    <mergeCell ref="A61:AM61"/>
    <mergeCell ref="A62:F62"/>
    <mergeCell ref="G62:AM62"/>
    <mergeCell ref="A63:AM63"/>
    <mergeCell ref="A64:AE64"/>
    <mergeCell ref="AF64:AM64"/>
    <mergeCell ref="A65:AM65"/>
    <mergeCell ref="A66:AM66"/>
    <mergeCell ref="A67:F67"/>
    <mergeCell ref="G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1239</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1167</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1168</v>
      </c>
      <c r="AL2" s="464"/>
      <c r="AM2" s="464"/>
    </row>
    <row r="3" customFormat="false" ht="11.1" hidden="false" customHeight="true" outlineLevel="0" collapsed="false">
      <c r="A3" s="346" t="s">
        <v>1109</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1110</v>
      </c>
      <c r="AB3" s="348"/>
      <c r="AC3" s="348"/>
      <c r="AD3" s="348"/>
      <c r="AE3" s="348"/>
      <c r="AF3" s="348"/>
      <c r="AG3" s="348"/>
      <c r="AH3" s="348"/>
      <c r="AI3" s="348"/>
      <c r="AJ3" s="348"/>
      <c r="AK3" s="348"/>
      <c r="AL3" s="348"/>
      <c r="AM3" s="348"/>
    </row>
    <row r="4" customFormat="false" ht="11.1" hidden="false" customHeight="true" outlineLevel="0" collapsed="false">
      <c r="A4" s="349" t="s">
        <v>1240</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1112</v>
      </c>
      <c r="AB4" s="353"/>
      <c r="AC4" s="353"/>
      <c r="AD4" s="353"/>
      <c r="AE4" s="353"/>
      <c r="AF4" s="353"/>
      <c r="AG4" s="353"/>
      <c r="AH4" s="353"/>
      <c r="AI4" s="358"/>
      <c r="AJ4" s="358"/>
      <c r="AK4" s="358"/>
      <c r="AL4" s="358"/>
      <c r="AM4" s="355" t="s">
        <v>255</v>
      </c>
    </row>
    <row r="5" customFormat="false" ht="11.1" hidden="false" customHeight="true" outlineLevel="0" collapsed="false">
      <c r="A5" s="552" t="s">
        <v>1241</v>
      </c>
      <c r="B5" s="552"/>
      <c r="C5" s="552"/>
      <c r="D5" s="552"/>
      <c r="E5" s="552"/>
      <c r="F5" s="552"/>
      <c r="G5" s="552"/>
      <c r="H5" s="552"/>
      <c r="I5" s="552"/>
      <c r="J5" s="552"/>
      <c r="K5" s="552"/>
      <c r="L5" s="552"/>
      <c r="M5" s="552"/>
      <c r="N5" s="350" t="s">
        <v>1111</v>
      </c>
      <c r="O5" s="350"/>
      <c r="P5" s="350"/>
      <c r="Q5" s="350"/>
      <c r="R5" s="350"/>
      <c r="S5" s="553" t="s">
        <v>341</v>
      </c>
      <c r="T5" s="553"/>
      <c r="U5" s="554" t="s">
        <v>979</v>
      </c>
      <c r="V5" s="554"/>
      <c r="W5" s="554"/>
      <c r="X5" s="554"/>
      <c r="Y5" s="554"/>
      <c r="Z5" s="359"/>
      <c r="AA5" s="353" t="s">
        <v>1113</v>
      </c>
      <c r="AB5" s="353"/>
      <c r="AC5" s="353"/>
      <c r="AD5" s="353"/>
      <c r="AE5" s="353"/>
      <c r="AF5" s="353"/>
      <c r="AG5" s="353"/>
      <c r="AH5" s="353"/>
      <c r="AI5" s="358"/>
      <c r="AJ5" s="358"/>
      <c r="AK5" s="358"/>
      <c r="AL5" s="358"/>
      <c r="AM5" s="355" t="s">
        <v>253</v>
      </c>
    </row>
    <row r="6" customFormat="false" ht="11.1" hidden="false" customHeight="true" outlineLevel="0" collapsed="false">
      <c r="A6" s="552" t="s">
        <v>1242</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1115</v>
      </c>
      <c r="AB6" s="353"/>
      <c r="AC6" s="353"/>
      <c r="AD6" s="353"/>
      <c r="AE6" s="353"/>
      <c r="AF6" s="353"/>
      <c r="AG6" s="353"/>
      <c r="AH6" s="353"/>
      <c r="AI6" s="358"/>
      <c r="AJ6" s="358"/>
      <c r="AK6" s="358"/>
      <c r="AL6" s="358"/>
      <c r="AM6" s="355" t="s">
        <v>259</v>
      </c>
    </row>
    <row r="7" customFormat="false" ht="11.1" hidden="false" customHeight="true" outlineLevel="0" collapsed="false">
      <c r="A7" s="555" t="s">
        <v>1243</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1244</v>
      </c>
      <c r="AB7" s="353"/>
      <c r="AC7" s="353"/>
      <c r="AD7" s="353"/>
      <c r="AE7" s="353"/>
      <c r="AF7" s="353"/>
      <c r="AG7" s="353"/>
      <c r="AH7" s="353"/>
      <c r="AI7" s="358"/>
      <c r="AJ7" s="358"/>
      <c r="AK7" s="556"/>
      <c r="AL7" s="556"/>
      <c r="AM7" s="355" t="s">
        <v>262</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558"/>
      <c r="AB8" s="558"/>
      <c r="AC8" s="558"/>
      <c r="AD8" s="558"/>
      <c r="AE8" s="558"/>
      <c r="AF8" s="558"/>
      <c r="AG8" s="558"/>
      <c r="AH8" s="558"/>
      <c r="AI8" s="558"/>
      <c r="AJ8" s="558"/>
      <c r="AK8" s="558"/>
      <c r="AL8" s="558"/>
      <c r="AM8" s="558"/>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1245</v>
      </c>
      <c r="AB9" s="353"/>
      <c r="AC9" s="353"/>
      <c r="AD9" s="353"/>
      <c r="AE9" s="353"/>
      <c r="AF9" s="353"/>
      <c r="AG9" s="353"/>
      <c r="AH9" s="353"/>
      <c r="AI9" s="358"/>
      <c r="AJ9" s="358"/>
      <c r="AK9" s="358"/>
      <c r="AL9" s="358"/>
      <c r="AM9" s="355"/>
    </row>
    <row r="10" customFormat="false" ht="11.1" hidden="false" customHeight="true" outlineLevel="0" collapsed="false">
      <c r="A10" s="557" t="s">
        <v>301</v>
      </c>
      <c r="B10" s="557"/>
      <c r="C10" s="557"/>
      <c r="D10" s="557"/>
      <c r="E10" s="557"/>
      <c r="F10" s="557"/>
      <c r="G10" s="557"/>
      <c r="H10" s="557"/>
      <c r="I10" s="557"/>
      <c r="J10" s="557"/>
      <c r="K10" s="557"/>
      <c r="L10" s="557"/>
      <c r="M10" s="557"/>
      <c r="N10" s="350" t="s">
        <v>1117</v>
      </c>
      <c r="O10" s="350"/>
      <c r="P10" s="350"/>
      <c r="Q10" s="350"/>
      <c r="R10" s="350"/>
      <c r="S10" s="553"/>
      <c r="T10" s="553"/>
      <c r="U10" s="554"/>
      <c r="V10" s="554"/>
      <c r="W10" s="554"/>
      <c r="X10" s="554"/>
      <c r="Y10" s="554"/>
      <c r="Z10" s="359"/>
      <c r="AA10" s="558"/>
      <c r="AB10" s="558"/>
      <c r="AC10" s="558"/>
      <c r="AD10" s="558"/>
      <c r="AE10" s="558"/>
      <c r="AF10" s="558"/>
      <c r="AG10" s="558"/>
      <c r="AH10" s="558"/>
      <c r="AI10" s="558"/>
      <c r="AJ10" s="558"/>
      <c r="AK10" s="558"/>
      <c r="AL10" s="558"/>
      <c r="AM10" s="558"/>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559" t="s">
        <v>1246</v>
      </c>
      <c r="AB11" s="559"/>
      <c r="AC11" s="559"/>
      <c r="AD11" s="559"/>
      <c r="AE11" s="559"/>
      <c r="AF11" s="559"/>
      <c r="AG11" s="559"/>
      <c r="AH11" s="559"/>
      <c r="AI11" s="358"/>
      <c r="AJ11" s="358"/>
      <c r="AK11" s="556"/>
      <c r="AL11" s="556"/>
      <c r="AM11" s="355" t="s">
        <v>255</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1247</v>
      </c>
      <c r="AB12" s="353"/>
      <c r="AC12" s="353"/>
      <c r="AD12" s="353"/>
      <c r="AE12" s="353"/>
      <c r="AF12" s="353"/>
      <c r="AG12" s="353"/>
      <c r="AH12" s="353"/>
      <c r="AI12" s="358"/>
      <c r="AJ12" s="358"/>
      <c r="AK12" s="556"/>
      <c r="AL12" s="556"/>
      <c r="AM12" s="355" t="s">
        <v>255</v>
      </c>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1248</v>
      </c>
      <c r="AB13" s="353"/>
      <c r="AC13" s="353"/>
      <c r="AD13" s="353"/>
      <c r="AE13" s="353"/>
      <c r="AF13" s="353"/>
      <c r="AG13" s="353"/>
      <c r="AH13" s="353"/>
      <c r="AI13" s="358"/>
      <c r="AJ13" s="358"/>
      <c r="AK13" s="556"/>
      <c r="AL13" s="556"/>
      <c r="AM13" s="355" t="s">
        <v>270</v>
      </c>
    </row>
    <row r="14" customFormat="false" ht="11.1" hidden="false" customHeight="true" outlineLevel="0" collapsed="false">
      <c r="A14" s="560"/>
      <c r="B14" s="560"/>
      <c r="C14" s="560"/>
      <c r="D14" s="560"/>
      <c r="E14" s="560"/>
      <c r="F14" s="560"/>
      <c r="G14" s="560"/>
      <c r="H14" s="560"/>
      <c r="I14" s="560"/>
      <c r="J14" s="560"/>
      <c r="K14" s="560"/>
      <c r="L14" s="560"/>
      <c r="M14" s="560"/>
      <c r="N14" s="551"/>
      <c r="O14" s="551"/>
      <c r="P14" s="551"/>
      <c r="Q14" s="551"/>
      <c r="R14" s="551"/>
      <c r="S14" s="551"/>
      <c r="T14" s="551"/>
      <c r="U14" s="551"/>
      <c r="V14" s="551"/>
      <c r="W14" s="551"/>
      <c r="X14" s="551"/>
      <c r="Y14" s="551"/>
      <c r="Z14" s="551"/>
      <c r="AA14" s="558"/>
      <c r="AB14" s="558"/>
      <c r="AC14" s="558"/>
      <c r="AD14" s="558"/>
      <c r="AE14" s="558"/>
      <c r="AF14" s="558"/>
      <c r="AG14" s="558"/>
      <c r="AH14" s="558"/>
      <c r="AI14" s="558"/>
      <c r="AJ14" s="558"/>
      <c r="AK14" s="558"/>
      <c r="AL14" s="558"/>
      <c r="AM14" s="558"/>
    </row>
    <row r="15" customFormat="false" ht="11.1" hidden="false" customHeight="true" outlineLevel="0" collapsed="false">
      <c r="A15" s="561"/>
      <c r="B15" s="561"/>
      <c r="C15" s="561"/>
      <c r="D15" s="561"/>
      <c r="E15" s="561"/>
      <c r="F15" s="561"/>
      <c r="G15" s="561"/>
      <c r="H15" s="561"/>
      <c r="I15" s="561"/>
      <c r="J15" s="561"/>
      <c r="K15" s="561"/>
      <c r="L15" s="561"/>
      <c r="M15" s="561"/>
      <c r="N15" s="562"/>
      <c r="O15" s="562"/>
      <c r="P15" s="562"/>
      <c r="Q15" s="562"/>
      <c r="R15" s="562"/>
      <c r="S15" s="562"/>
      <c r="T15" s="562"/>
      <c r="U15" s="562"/>
      <c r="V15" s="562"/>
      <c r="W15" s="562"/>
      <c r="X15" s="562"/>
      <c r="Y15" s="562"/>
      <c r="Z15" s="562"/>
      <c r="AA15" s="353" t="s">
        <v>1249</v>
      </c>
      <c r="AB15" s="353"/>
      <c r="AC15" s="353"/>
      <c r="AD15" s="353"/>
      <c r="AE15" s="353"/>
      <c r="AF15" s="353"/>
      <c r="AG15" s="353"/>
      <c r="AH15" s="353"/>
      <c r="AI15" s="563"/>
      <c r="AJ15" s="564"/>
      <c r="AK15" s="564"/>
      <c r="AL15" s="564"/>
      <c r="AM15" s="355" t="s">
        <v>255</v>
      </c>
    </row>
    <row r="16" customFormat="false" ht="11.1" hidden="false" customHeight="true" outlineLevel="0" collapsed="false">
      <c r="A16" s="565" t="s">
        <v>590</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1250</v>
      </c>
      <c r="B17" s="566"/>
      <c r="C17" s="566"/>
      <c r="D17" s="566"/>
      <c r="E17" s="566"/>
      <c r="F17" s="566"/>
      <c r="G17" s="566"/>
      <c r="H17" s="566"/>
      <c r="I17" s="566"/>
      <c r="J17" s="566"/>
      <c r="K17" s="566"/>
      <c r="L17" s="566"/>
      <c r="M17" s="566"/>
      <c r="N17" s="559" t="s">
        <v>1251</v>
      </c>
      <c r="O17" s="559"/>
      <c r="P17" s="559"/>
      <c r="Q17" s="559"/>
      <c r="R17" s="559"/>
      <c r="S17" s="559"/>
      <c r="T17" s="559"/>
      <c r="U17" s="559"/>
      <c r="V17" s="559"/>
      <c r="W17" s="559"/>
      <c r="X17" s="559"/>
      <c r="Y17" s="559"/>
      <c r="Z17" s="559"/>
      <c r="AA17" s="567" t="s">
        <v>1252</v>
      </c>
      <c r="AB17" s="567"/>
      <c r="AC17" s="567"/>
      <c r="AD17" s="567"/>
      <c r="AE17" s="567"/>
      <c r="AF17" s="567"/>
      <c r="AG17" s="567"/>
      <c r="AH17" s="567"/>
      <c r="AI17" s="567"/>
      <c r="AJ17" s="567"/>
      <c r="AK17" s="567"/>
      <c r="AL17" s="567"/>
      <c r="AM17" s="567"/>
    </row>
    <row r="18" customFormat="false" ht="11.1" hidden="false" customHeight="true" outlineLevel="0" collapsed="false">
      <c r="A18" s="568" t="s">
        <v>1125</v>
      </c>
      <c r="B18" s="568"/>
      <c r="C18" s="568"/>
      <c r="D18" s="568"/>
      <c r="E18" s="568"/>
      <c r="F18" s="568"/>
      <c r="G18" s="568"/>
      <c r="H18" s="569" t="s">
        <v>1253</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1254</v>
      </c>
      <c r="D19" s="406"/>
      <c r="E19" s="406"/>
      <c r="F19" s="406"/>
      <c r="G19" s="406"/>
      <c r="H19" s="570"/>
      <c r="I19" s="570"/>
      <c r="J19" s="570"/>
      <c r="K19" s="570"/>
      <c r="L19" s="570"/>
      <c r="M19" s="570"/>
      <c r="N19" s="570"/>
      <c r="O19" s="570"/>
      <c r="P19" s="570"/>
      <c r="Q19" s="570"/>
      <c r="R19" s="570"/>
      <c r="S19" s="570"/>
      <c r="T19" s="570"/>
      <c r="U19" s="570"/>
      <c r="V19" s="570"/>
      <c r="W19" s="570"/>
      <c r="X19" s="570"/>
      <c r="Y19" s="570"/>
      <c r="Z19" s="570"/>
      <c r="AA19" s="570"/>
      <c r="AB19" s="570"/>
      <c r="AC19" s="381" t="s">
        <v>230</v>
      </c>
      <c r="AD19" s="381"/>
      <c r="AE19" s="381"/>
      <c r="AF19" s="381" t="s">
        <v>341</v>
      </c>
      <c r="AG19" s="381"/>
      <c r="AH19" s="382" t="s">
        <v>979</v>
      </c>
      <c r="AI19" s="382"/>
      <c r="AJ19" s="382"/>
      <c r="AK19" s="382"/>
      <c r="AL19" s="382"/>
      <c r="AM19" s="382"/>
    </row>
    <row r="20" customFormat="false" ht="11.1" hidden="false" customHeight="true" outlineLevel="0" collapsed="false">
      <c r="A20" s="379" t="n">
        <v>2</v>
      </c>
      <c r="B20" s="379"/>
      <c r="C20" s="406" t="s">
        <v>1255</v>
      </c>
      <c r="D20" s="406"/>
      <c r="E20" s="406"/>
      <c r="F20" s="406"/>
      <c r="G20" s="406"/>
      <c r="H20" s="571"/>
      <c r="I20" s="571"/>
      <c r="J20" s="571"/>
      <c r="K20" s="571"/>
      <c r="L20" s="571"/>
      <c r="M20" s="571"/>
      <c r="N20" s="571"/>
      <c r="O20" s="571"/>
      <c r="P20" s="571"/>
      <c r="Q20" s="571"/>
      <c r="R20" s="571"/>
      <c r="S20" s="571"/>
      <c r="T20" s="571"/>
      <c r="U20" s="571"/>
      <c r="V20" s="571"/>
      <c r="W20" s="571"/>
      <c r="X20" s="571"/>
      <c r="Y20" s="571"/>
      <c r="Z20" s="571"/>
      <c r="AA20" s="571"/>
      <c r="AB20" s="571"/>
      <c r="AC20" s="375"/>
      <c r="AD20" s="375"/>
      <c r="AE20" s="375"/>
      <c r="AF20" s="375"/>
      <c r="AG20" s="375"/>
      <c r="AH20" s="572"/>
      <c r="AI20" s="572"/>
      <c r="AJ20" s="572"/>
      <c r="AK20" s="572"/>
      <c r="AL20" s="572"/>
      <c r="AM20" s="572"/>
    </row>
    <row r="21" customFormat="false" ht="11.1" hidden="false" customHeight="true" outlineLevel="0" collapsed="false">
      <c r="A21" s="379" t="n">
        <v>3</v>
      </c>
      <c r="B21" s="379"/>
      <c r="C21" s="406" t="s">
        <v>1256</v>
      </c>
      <c r="D21" s="406"/>
      <c r="E21" s="406"/>
      <c r="F21" s="406"/>
      <c r="G21" s="406"/>
      <c r="H21" s="571"/>
      <c r="I21" s="571"/>
      <c r="J21" s="571"/>
      <c r="K21" s="571"/>
      <c r="L21" s="571"/>
      <c r="M21" s="571"/>
      <c r="N21" s="571"/>
      <c r="O21" s="571"/>
      <c r="P21" s="571"/>
      <c r="Q21" s="571"/>
      <c r="R21" s="571"/>
      <c r="S21" s="571"/>
      <c r="T21" s="571"/>
      <c r="U21" s="571"/>
      <c r="V21" s="571"/>
      <c r="W21" s="571"/>
      <c r="X21" s="571"/>
      <c r="Y21" s="571"/>
      <c r="Z21" s="571"/>
      <c r="AA21" s="571"/>
      <c r="AB21" s="571"/>
      <c r="AC21" s="375"/>
      <c r="AD21" s="375"/>
      <c r="AE21" s="375"/>
      <c r="AF21" s="375"/>
      <c r="AG21" s="375"/>
      <c r="AH21" s="572"/>
      <c r="AI21" s="572"/>
      <c r="AJ21" s="572"/>
      <c r="AK21" s="572"/>
      <c r="AL21" s="572"/>
      <c r="AM21" s="572"/>
    </row>
    <row r="22" customFormat="false" ht="11.1" hidden="false" customHeight="true" outlineLevel="0" collapsed="false">
      <c r="A22" s="379" t="n">
        <v>4</v>
      </c>
      <c r="B22" s="379"/>
      <c r="C22" s="406" t="s">
        <v>1257</v>
      </c>
      <c r="D22" s="406"/>
      <c r="E22" s="406"/>
      <c r="F22" s="406"/>
      <c r="G22" s="406"/>
      <c r="H22" s="571"/>
      <c r="I22" s="571"/>
      <c r="J22" s="571"/>
      <c r="K22" s="571"/>
      <c r="L22" s="571"/>
      <c r="M22" s="571"/>
      <c r="N22" s="571"/>
      <c r="O22" s="571"/>
      <c r="P22" s="571"/>
      <c r="Q22" s="571"/>
      <c r="R22" s="571"/>
      <c r="S22" s="571"/>
      <c r="T22" s="571"/>
      <c r="U22" s="571"/>
      <c r="V22" s="571"/>
      <c r="W22" s="571"/>
      <c r="X22" s="571"/>
      <c r="Y22" s="571"/>
      <c r="Z22" s="571"/>
      <c r="AA22" s="571"/>
      <c r="AB22" s="571"/>
      <c r="AC22" s="375"/>
      <c r="AD22" s="375"/>
      <c r="AE22" s="375"/>
      <c r="AF22" s="375"/>
      <c r="AG22" s="375"/>
      <c r="AH22" s="572"/>
      <c r="AI22" s="572"/>
      <c r="AJ22" s="572"/>
      <c r="AK22" s="572"/>
      <c r="AL22" s="572"/>
      <c r="AM22" s="572"/>
    </row>
    <row r="23" customFormat="false" ht="11.1" hidden="false" customHeight="true" outlineLevel="0" collapsed="false">
      <c r="A23" s="379" t="n">
        <v>5</v>
      </c>
      <c r="B23" s="379"/>
      <c r="C23" s="406" t="s">
        <v>1258</v>
      </c>
      <c r="D23" s="406"/>
      <c r="E23" s="406"/>
      <c r="F23" s="406"/>
      <c r="G23" s="406"/>
      <c r="H23" s="571"/>
      <c r="I23" s="571"/>
      <c r="J23" s="571"/>
      <c r="K23" s="571"/>
      <c r="L23" s="571"/>
      <c r="M23" s="571"/>
      <c r="N23" s="571"/>
      <c r="O23" s="571"/>
      <c r="P23" s="571"/>
      <c r="Q23" s="571"/>
      <c r="R23" s="571"/>
      <c r="S23" s="571"/>
      <c r="T23" s="571"/>
      <c r="U23" s="571"/>
      <c r="V23" s="571"/>
      <c r="W23" s="571"/>
      <c r="X23" s="571"/>
      <c r="Y23" s="571"/>
      <c r="Z23" s="571"/>
      <c r="AA23" s="571"/>
      <c r="AB23" s="571"/>
      <c r="AC23" s="375"/>
      <c r="AD23" s="375"/>
      <c r="AE23" s="375"/>
      <c r="AF23" s="375"/>
      <c r="AG23" s="375"/>
      <c r="AH23" s="572"/>
      <c r="AI23" s="572"/>
      <c r="AJ23" s="572"/>
      <c r="AK23" s="572"/>
      <c r="AL23" s="572"/>
      <c r="AM23" s="572"/>
    </row>
    <row r="24" customFormat="false" ht="11.1" hidden="false" customHeight="true" outlineLevel="0" collapsed="false">
      <c r="A24" s="379" t="n">
        <v>6</v>
      </c>
      <c r="B24" s="379"/>
      <c r="C24" s="406" t="s">
        <v>1259</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1260</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1261</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1262</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1263</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1264</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1265</v>
      </c>
      <c r="D30" s="406"/>
      <c r="E30" s="406"/>
      <c r="F30" s="406"/>
      <c r="G30" s="406"/>
      <c r="H30" s="573" t="s">
        <v>1266</v>
      </c>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row>
    <row r="31" customFormat="false" ht="11.1" hidden="false" customHeight="true" outlineLevel="0" collapsed="false">
      <c r="A31" s="379" t="n">
        <v>13</v>
      </c>
      <c r="B31" s="379"/>
      <c r="C31" s="406" t="s">
        <v>1267</v>
      </c>
      <c r="D31" s="406"/>
      <c r="E31" s="406"/>
      <c r="F31" s="406"/>
      <c r="G31" s="406"/>
      <c r="H31" s="574"/>
      <c r="I31" s="574"/>
      <c r="J31" s="574"/>
      <c r="K31" s="574"/>
      <c r="L31" s="574"/>
      <c r="M31" s="574"/>
      <c r="N31" s="574"/>
      <c r="O31" s="574"/>
      <c r="P31" s="574"/>
      <c r="Q31" s="574"/>
      <c r="R31" s="574"/>
      <c r="S31" s="574"/>
      <c r="T31" s="574"/>
      <c r="U31" s="574"/>
      <c r="V31" s="574"/>
      <c r="W31" s="575" t="s">
        <v>1129</v>
      </c>
      <c r="X31" s="575"/>
      <c r="Y31" s="575"/>
      <c r="Z31" s="575"/>
      <c r="AA31" s="575"/>
      <c r="AB31" s="575"/>
      <c r="AC31" s="575" t="s">
        <v>230</v>
      </c>
      <c r="AD31" s="575"/>
      <c r="AE31" s="575"/>
      <c r="AF31" s="576" t="s">
        <v>1130</v>
      </c>
      <c r="AG31" s="576"/>
      <c r="AH31" s="576"/>
      <c r="AI31" s="576"/>
      <c r="AJ31" s="576"/>
      <c r="AK31" s="576"/>
      <c r="AL31" s="576"/>
      <c r="AM31" s="576"/>
    </row>
    <row r="32" customFormat="false" ht="11.1" hidden="false" customHeight="true" outlineLevel="0" collapsed="false">
      <c r="A32" s="379" t="n">
        <v>14</v>
      </c>
      <c r="B32" s="379"/>
      <c r="C32" s="406" t="s">
        <v>1268</v>
      </c>
      <c r="D32" s="406"/>
      <c r="E32" s="406"/>
      <c r="F32" s="406"/>
      <c r="G32" s="406"/>
      <c r="H32" s="383"/>
      <c r="I32" s="383"/>
      <c r="J32" s="383"/>
      <c r="K32" s="383"/>
      <c r="L32" s="383"/>
      <c r="M32" s="383"/>
      <c r="N32" s="383"/>
      <c r="O32" s="383"/>
      <c r="P32" s="383"/>
      <c r="Q32" s="383"/>
      <c r="R32" s="383"/>
      <c r="S32" s="383"/>
      <c r="T32" s="383"/>
      <c r="U32" s="383"/>
      <c r="V32" s="383"/>
      <c r="W32" s="375"/>
      <c r="X32" s="375"/>
      <c r="Y32" s="375"/>
      <c r="Z32" s="375"/>
      <c r="AA32" s="375"/>
      <c r="AB32" s="375"/>
      <c r="AC32" s="375"/>
      <c r="AD32" s="375"/>
      <c r="AE32" s="375"/>
      <c r="AF32" s="375"/>
      <c r="AG32" s="375"/>
      <c r="AH32" s="406"/>
      <c r="AI32" s="406"/>
      <c r="AJ32" s="406"/>
      <c r="AK32" s="406"/>
      <c r="AL32" s="406"/>
      <c r="AM32" s="406"/>
    </row>
    <row r="33" customFormat="false" ht="11.1" hidden="false" customHeight="true" outlineLevel="0" collapsed="false">
      <c r="A33" s="379" t="n">
        <v>15</v>
      </c>
      <c r="B33" s="379"/>
      <c r="C33" s="406" t="s">
        <v>1269</v>
      </c>
      <c r="D33" s="406"/>
      <c r="E33" s="406"/>
      <c r="F33" s="406"/>
      <c r="G33" s="406"/>
      <c r="H33" s="383"/>
      <c r="I33" s="383"/>
      <c r="J33" s="383"/>
      <c r="K33" s="383"/>
      <c r="L33" s="383"/>
      <c r="M33" s="383"/>
      <c r="N33" s="383"/>
      <c r="O33" s="383"/>
      <c r="P33" s="383"/>
      <c r="Q33" s="383"/>
      <c r="R33" s="383"/>
      <c r="S33" s="383"/>
      <c r="T33" s="383"/>
      <c r="U33" s="383"/>
      <c r="V33" s="383"/>
      <c r="W33" s="375"/>
      <c r="X33" s="375"/>
      <c r="Y33" s="375"/>
      <c r="Z33" s="375"/>
      <c r="AA33" s="375"/>
      <c r="AB33" s="375"/>
      <c r="AC33" s="375"/>
      <c r="AD33" s="375"/>
      <c r="AE33" s="375"/>
      <c r="AF33" s="375"/>
      <c r="AG33" s="375"/>
      <c r="AH33" s="406"/>
      <c r="AI33" s="406"/>
      <c r="AJ33" s="406"/>
      <c r="AK33" s="406"/>
      <c r="AL33" s="406"/>
      <c r="AM33" s="406"/>
    </row>
    <row r="34" customFormat="false" ht="11.1" hidden="false" customHeight="true" outlineLevel="0" collapsed="false">
      <c r="A34" s="379" t="n">
        <v>16</v>
      </c>
      <c r="B34" s="379"/>
      <c r="C34" s="406" t="s">
        <v>1270</v>
      </c>
      <c r="D34" s="406"/>
      <c r="E34" s="406"/>
      <c r="F34" s="406"/>
      <c r="G34" s="406"/>
      <c r="H34" s="383"/>
      <c r="I34" s="383"/>
      <c r="J34" s="383"/>
      <c r="K34" s="383"/>
      <c r="L34" s="383"/>
      <c r="M34" s="383"/>
      <c r="N34" s="383"/>
      <c r="O34" s="383"/>
      <c r="P34" s="383"/>
      <c r="Q34" s="383"/>
      <c r="R34" s="383"/>
      <c r="S34" s="383"/>
      <c r="T34" s="383"/>
      <c r="U34" s="383"/>
      <c r="V34" s="383"/>
      <c r="W34" s="375"/>
      <c r="X34" s="375"/>
      <c r="Y34" s="375"/>
      <c r="Z34" s="375"/>
      <c r="AA34" s="375"/>
      <c r="AB34" s="375"/>
      <c r="AC34" s="375"/>
      <c r="AD34" s="375"/>
      <c r="AE34" s="375"/>
      <c r="AF34" s="375"/>
      <c r="AG34" s="375"/>
      <c r="AH34" s="406"/>
      <c r="AI34" s="406"/>
      <c r="AJ34" s="406"/>
      <c r="AK34" s="406"/>
      <c r="AL34" s="406"/>
      <c r="AM34" s="406"/>
    </row>
    <row r="35" customFormat="false" ht="11.1" hidden="false" customHeight="true" outlineLevel="0" collapsed="false">
      <c r="A35" s="379" t="n">
        <v>17</v>
      </c>
      <c r="B35" s="379"/>
      <c r="C35" s="406" t="s">
        <v>1271</v>
      </c>
      <c r="D35" s="406"/>
      <c r="E35" s="406"/>
      <c r="F35" s="406"/>
      <c r="G35" s="406"/>
      <c r="H35" s="383"/>
      <c r="I35" s="383"/>
      <c r="J35" s="383"/>
      <c r="K35" s="383"/>
      <c r="L35" s="383"/>
      <c r="M35" s="383"/>
      <c r="N35" s="383"/>
      <c r="O35" s="383"/>
      <c r="P35" s="383"/>
      <c r="Q35" s="383"/>
      <c r="R35" s="383"/>
      <c r="S35" s="383"/>
      <c r="T35" s="383"/>
      <c r="U35" s="383"/>
      <c r="V35" s="383"/>
      <c r="W35" s="375"/>
      <c r="X35" s="375"/>
      <c r="Y35" s="375"/>
      <c r="Z35" s="375"/>
      <c r="AA35" s="375"/>
      <c r="AB35" s="375"/>
      <c r="AC35" s="375"/>
      <c r="AD35" s="375"/>
      <c r="AE35" s="375"/>
      <c r="AF35" s="375"/>
      <c r="AG35" s="375"/>
      <c r="AH35" s="406"/>
      <c r="AI35" s="406"/>
      <c r="AJ35" s="406"/>
      <c r="AK35" s="406"/>
      <c r="AL35" s="406"/>
      <c r="AM35" s="406"/>
    </row>
    <row r="36" customFormat="false" ht="11.1" hidden="false" customHeight="true" outlineLevel="0" collapsed="false">
      <c r="A36" s="379" t="n">
        <v>18</v>
      </c>
      <c r="B36" s="379"/>
      <c r="C36" s="406" t="s">
        <v>1272</v>
      </c>
      <c r="D36" s="406"/>
      <c r="E36" s="406"/>
      <c r="F36" s="406"/>
      <c r="G36" s="406"/>
      <c r="H36" s="383"/>
      <c r="I36" s="383"/>
      <c r="J36" s="383"/>
      <c r="K36" s="383"/>
      <c r="L36" s="383"/>
      <c r="M36" s="383"/>
      <c r="N36" s="383"/>
      <c r="O36" s="383"/>
      <c r="P36" s="383"/>
      <c r="Q36" s="383"/>
      <c r="R36" s="383"/>
      <c r="S36" s="383"/>
      <c r="T36" s="383"/>
      <c r="U36" s="383"/>
      <c r="V36" s="383"/>
      <c r="W36" s="375"/>
      <c r="X36" s="375"/>
      <c r="Y36" s="375"/>
      <c r="Z36" s="375"/>
      <c r="AA36" s="375"/>
      <c r="AB36" s="375"/>
      <c r="AC36" s="375"/>
      <c r="AD36" s="375"/>
      <c r="AE36" s="375"/>
      <c r="AF36" s="375"/>
      <c r="AG36" s="375"/>
      <c r="AH36" s="406"/>
      <c r="AI36" s="406"/>
      <c r="AJ36" s="406"/>
      <c r="AK36" s="406"/>
      <c r="AL36" s="406"/>
      <c r="AM36" s="406"/>
    </row>
    <row r="37" customFormat="false" ht="11.1" hidden="false" customHeight="true" outlineLevel="0" collapsed="false">
      <c r="A37" s="379" t="n">
        <v>19</v>
      </c>
      <c r="B37" s="379"/>
      <c r="C37" s="406" t="s">
        <v>1273</v>
      </c>
      <c r="D37" s="406"/>
      <c r="E37" s="406"/>
      <c r="F37" s="406"/>
      <c r="G37" s="406"/>
      <c r="H37" s="383"/>
      <c r="I37" s="383"/>
      <c r="J37" s="383"/>
      <c r="K37" s="383"/>
      <c r="L37" s="383"/>
      <c r="M37" s="383"/>
      <c r="N37" s="383"/>
      <c r="O37" s="383"/>
      <c r="P37" s="383"/>
      <c r="Q37" s="383"/>
      <c r="R37" s="383"/>
      <c r="S37" s="383"/>
      <c r="T37" s="383"/>
      <c r="U37" s="383"/>
      <c r="V37" s="383"/>
      <c r="W37" s="375"/>
      <c r="X37" s="375"/>
      <c r="Y37" s="375"/>
      <c r="Z37" s="375"/>
      <c r="AA37" s="375"/>
      <c r="AB37" s="375"/>
      <c r="AC37" s="375"/>
      <c r="AD37" s="375"/>
      <c r="AE37" s="375"/>
      <c r="AF37" s="375"/>
      <c r="AG37" s="375"/>
      <c r="AH37" s="406"/>
      <c r="AI37" s="406"/>
      <c r="AJ37" s="406"/>
      <c r="AK37" s="406"/>
      <c r="AL37" s="406"/>
      <c r="AM37" s="406"/>
    </row>
    <row r="38" customFormat="false" ht="11.1" hidden="false" customHeight="true" outlineLevel="0" collapsed="false">
      <c r="A38" s="379" t="n">
        <v>20</v>
      </c>
      <c r="B38" s="379"/>
      <c r="C38" s="406" t="s">
        <v>1274</v>
      </c>
      <c r="D38" s="406"/>
      <c r="E38" s="406"/>
      <c r="F38" s="406"/>
      <c r="G38" s="406"/>
      <c r="H38" s="383"/>
      <c r="I38" s="383"/>
      <c r="J38" s="383"/>
      <c r="K38" s="383"/>
      <c r="L38" s="383"/>
      <c r="M38" s="383"/>
      <c r="N38" s="383"/>
      <c r="O38" s="383"/>
      <c r="P38" s="383"/>
      <c r="Q38" s="383"/>
      <c r="R38" s="383"/>
      <c r="S38" s="383"/>
      <c r="T38" s="383"/>
      <c r="U38" s="383"/>
      <c r="V38" s="383"/>
      <c r="W38" s="375"/>
      <c r="X38" s="375"/>
      <c r="Y38" s="375"/>
      <c r="Z38" s="375"/>
      <c r="AA38" s="375"/>
      <c r="AB38" s="375"/>
      <c r="AC38" s="375"/>
      <c r="AD38" s="375"/>
      <c r="AE38" s="375"/>
      <c r="AF38" s="375"/>
      <c r="AG38" s="375"/>
      <c r="AH38" s="406"/>
      <c r="AI38" s="406"/>
      <c r="AJ38" s="406"/>
      <c r="AK38" s="406"/>
      <c r="AL38" s="406"/>
      <c r="AM38" s="406"/>
    </row>
    <row r="39" customFormat="false" ht="11.1" hidden="false" customHeight="true" outlineLevel="0" collapsed="false">
      <c r="A39" s="379" t="n">
        <v>21</v>
      </c>
      <c r="B39" s="379"/>
      <c r="C39" s="406" t="s">
        <v>1275</v>
      </c>
      <c r="D39" s="406"/>
      <c r="E39" s="406"/>
      <c r="F39" s="406"/>
      <c r="G39" s="406"/>
      <c r="H39" s="383"/>
      <c r="I39" s="383"/>
      <c r="J39" s="383"/>
      <c r="K39" s="383"/>
      <c r="L39" s="383"/>
      <c r="M39" s="383"/>
      <c r="N39" s="383"/>
      <c r="O39" s="383"/>
      <c r="P39" s="383"/>
      <c r="Q39" s="383"/>
      <c r="R39" s="383"/>
      <c r="S39" s="383"/>
      <c r="T39" s="383"/>
      <c r="U39" s="383"/>
      <c r="V39" s="383"/>
      <c r="W39" s="375"/>
      <c r="X39" s="375"/>
      <c r="Y39" s="375"/>
      <c r="Z39" s="375"/>
      <c r="AA39" s="375"/>
      <c r="AB39" s="375"/>
      <c r="AC39" s="375"/>
      <c r="AD39" s="375"/>
      <c r="AE39" s="375"/>
      <c r="AF39" s="375"/>
      <c r="AG39" s="375"/>
      <c r="AH39" s="406"/>
      <c r="AI39" s="406"/>
      <c r="AJ39" s="406"/>
      <c r="AK39" s="406"/>
      <c r="AL39" s="406"/>
      <c r="AM39" s="406"/>
    </row>
    <row r="40" customFormat="false" ht="11.1" hidden="false" customHeight="true" outlineLevel="0" collapsed="false">
      <c r="A40" s="379" t="n">
        <v>22</v>
      </c>
      <c r="B40" s="379"/>
      <c r="C40" s="406" t="s">
        <v>1276</v>
      </c>
      <c r="D40" s="406"/>
      <c r="E40" s="406"/>
      <c r="F40" s="406"/>
      <c r="G40" s="406"/>
      <c r="H40" s="383"/>
      <c r="I40" s="383"/>
      <c r="J40" s="383"/>
      <c r="K40" s="383"/>
      <c r="L40" s="383"/>
      <c r="M40" s="383"/>
      <c r="N40" s="383"/>
      <c r="O40" s="383"/>
      <c r="P40" s="383"/>
      <c r="Q40" s="383"/>
      <c r="R40" s="383"/>
      <c r="S40" s="383"/>
      <c r="T40" s="383"/>
      <c r="U40" s="383"/>
      <c r="V40" s="383"/>
      <c r="W40" s="375"/>
      <c r="X40" s="375"/>
      <c r="Y40" s="375"/>
      <c r="Z40" s="375"/>
      <c r="AA40" s="375"/>
      <c r="AB40" s="375"/>
      <c r="AC40" s="375"/>
      <c r="AD40" s="375"/>
      <c r="AE40" s="375"/>
      <c r="AF40" s="375"/>
      <c r="AG40" s="375"/>
      <c r="AH40" s="406"/>
      <c r="AI40" s="406"/>
      <c r="AJ40" s="406"/>
      <c r="AK40" s="406"/>
      <c r="AL40" s="406"/>
      <c r="AM40" s="406"/>
    </row>
    <row r="41" customFormat="false" ht="11.1" hidden="false" customHeight="true" outlineLevel="0" collapsed="false">
      <c r="A41" s="379" t="n">
        <v>23</v>
      </c>
      <c r="B41" s="379"/>
      <c r="C41" s="406" t="s">
        <v>1277</v>
      </c>
      <c r="D41" s="406"/>
      <c r="E41" s="406"/>
      <c r="F41" s="406"/>
      <c r="G41" s="406"/>
      <c r="H41" s="383"/>
      <c r="I41" s="383"/>
      <c r="J41" s="383"/>
      <c r="K41" s="383"/>
      <c r="L41" s="383"/>
      <c r="M41" s="383"/>
      <c r="N41" s="383"/>
      <c r="O41" s="383"/>
      <c r="P41" s="383"/>
      <c r="Q41" s="383"/>
      <c r="R41" s="383"/>
      <c r="S41" s="383"/>
      <c r="T41" s="383"/>
      <c r="U41" s="383"/>
      <c r="V41" s="383"/>
      <c r="W41" s="375"/>
      <c r="X41" s="375"/>
      <c r="Y41" s="375"/>
      <c r="Z41" s="375"/>
      <c r="AA41" s="375"/>
      <c r="AB41" s="375"/>
      <c r="AC41" s="375"/>
      <c r="AD41" s="375"/>
      <c r="AE41" s="375"/>
      <c r="AF41" s="375"/>
      <c r="AG41" s="375"/>
      <c r="AH41" s="406"/>
      <c r="AI41" s="406"/>
      <c r="AJ41" s="406"/>
      <c r="AK41" s="406"/>
      <c r="AL41" s="406"/>
      <c r="AM41" s="406"/>
    </row>
    <row r="42" customFormat="false" ht="11.1" hidden="false" customHeight="true" outlineLevel="0" collapsed="false">
      <c r="A42" s="379" t="n">
        <v>24</v>
      </c>
      <c r="B42" s="379"/>
      <c r="C42" s="406" t="s">
        <v>1278</v>
      </c>
      <c r="D42" s="406"/>
      <c r="E42" s="406"/>
      <c r="F42" s="406"/>
      <c r="G42" s="406"/>
      <c r="H42" s="577" t="s">
        <v>1279</v>
      </c>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row>
    <row r="43" customFormat="false" ht="11.1" hidden="false" customHeight="true" outlineLevel="0" collapsed="false">
      <c r="A43" s="379" t="n">
        <v>25</v>
      </c>
      <c r="B43" s="379"/>
      <c r="C43" s="406" t="s">
        <v>1280</v>
      </c>
      <c r="D43" s="406"/>
      <c r="E43" s="406"/>
      <c r="F43" s="406"/>
      <c r="G43" s="406"/>
      <c r="H43" s="578"/>
      <c r="I43" s="578"/>
      <c r="J43" s="578"/>
      <c r="K43" s="578"/>
      <c r="L43" s="578"/>
      <c r="M43" s="578"/>
      <c r="N43" s="578"/>
      <c r="O43" s="578"/>
      <c r="P43" s="578"/>
      <c r="Q43" s="578"/>
      <c r="R43" s="578"/>
      <c r="S43" s="578"/>
      <c r="T43" s="578"/>
      <c r="U43" s="578"/>
      <c r="V43" s="578"/>
      <c r="W43" s="578"/>
      <c r="X43" s="578"/>
      <c r="Y43" s="381" t="s">
        <v>196</v>
      </c>
      <c r="Z43" s="381"/>
      <c r="AA43" s="381" t="s">
        <v>230</v>
      </c>
      <c r="AB43" s="381"/>
      <c r="AC43" s="381"/>
      <c r="AD43" s="381" t="s">
        <v>341</v>
      </c>
      <c r="AE43" s="381"/>
      <c r="AF43" s="381" t="s">
        <v>979</v>
      </c>
      <c r="AG43" s="381"/>
      <c r="AH43" s="381"/>
      <c r="AI43" s="381"/>
      <c r="AJ43" s="381"/>
      <c r="AK43" s="381"/>
      <c r="AL43" s="579" t="s">
        <v>1127</v>
      </c>
      <c r="AM43" s="579"/>
    </row>
    <row r="44" customFormat="false" ht="11.1" hidden="false" customHeight="true" outlineLevel="0" collapsed="false">
      <c r="A44" s="379" t="n">
        <v>26</v>
      </c>
      <c r="B44" s="379"/>
      <c r="C44" s="406" t="s">
        <v>1281</v>
      </c>
      <c r="D44" s="406"/>
      <c r="E44" s="406"/>
      <c r="F44" s="406"/>
      <c r="G44" s="406"/>
      <c r="H44" s="571"/>
      <c r="I44" s="571"/>
      <c r="J44" s="571"/>
      <c r="K44" s="571"/>
      <c r="L44" s="571"/>
      <c r="M44" s="571"/>
      <c r="N44" s="571"/>
      <c r="O44" s="571"/>
      <c r="P44" s="571"/>
      <c r="Q44" s="571"/>
      <c r="R44" s="571"/>
      <c r="S44" s="571"/>
      <c r="T44" s="571"/>
      <c r="U44" s="571"/>
      <c r="V44" s="571"/>
      <c r="W44" s="571"/>
      <c r="X44" s="571"/>
      <c r="Y44" s="375"/>
      <c r="Z44" s="375"/>
      <c r="AA44" s="375"/>
      <c r="AB44" s="375"/>
      <c r="AC44" s="375"/>
      <c r="AD44" s="375"/>
      <c r="AE44" s="375"/>
      <c r="AF44" s="375"/>
      <c r="AG44" s="375"/>
      <c r="AH44" s="375"/>
      <c r="AI44" s="375"/>
      <c r="AJ44" s="375"/>
      <c r="AK44" s="375"/>
      <c r="AL44" s="406"/>
      <c r="AM44" s="406"/>
    </row>
    <row r="45" customFormat="false" ht="11.1" hidden="false" customHeight="true" outlineLevel="0" collapsed="false">
      <c r="A45" s="379" t="n">
        <v>27</v>
      </c>
      <c r="B45" s="379"/>
      <c r="C45" s="406" t="s">
        <v>1282</v>
      </c>
      <c r="D45" s="406"/>
      <c r="E45" s="406"/>
      <c r="F45" s="406"/>
      <c r="G45" s="406"/>
      <c r="H45" s="571"/>
      <c r="I45" s="571"/>
      <c r="J45" s="571"/>
      <c r="K45" s="571"/>
      <c r="L45" s="571"/>
      <c r="M45" s="571"/>
      <c r="N45" s="571"/>
      <c r="O45" s="571"/>
      <c r="P45" s="571"/>
      <c r="Q45" s="571"/>
      <c r="R45" s="571"/>
      <c r="S45" s="571"/>
      <c r="T45" s="571"/>
      <c r="U45" s="571"/>
      <c r="V45" s="571"/>
      <c r="W45" s="571"/>
      <c r="X45" s="571"/>
      <c r="Y45" s="375"/>
      <c r="Z45" s="375"/>
      <c r="AA45" s="375"/>
      <c r="AB45" s="375"/>
      <c r="AC45" s="375"/>
      <c r="AD45" s="375"/>
      <c r="AE45" s="375"/>
      <c r="AF45" s="375"/>
      <c r="AG45" s="375"/>
      <c r="AH45" s="375"/>
      <c r="AI45" s="375"/>
      <c r="AJ45" s="375"/>
      <c r="AK45" s="375"/>
      <c r="AL45" s="406"/>
      <c r="AM45" s="406"/>
    </row>
    <row r="46" customFormat="false" ht="11.1" hidden="false" customHeight="true" outlineLevel="0" collapsed="false">
      <c r="A46" s="379" t="n">
        <v>28</v>
      </c>
      <c r="B46" s="379"/>
      <c r="C46" s="406" t="s">
        <v>1283</v>
      </c>
      <c r="D46" s="406"/>
      <c r="E46" s="406"/>
      <c r="F46" s="406"/>
      <c r="G46" s="406"/>
      <c r="H46" s="571"/>
      <c r="I46" s="571"/>
      <c r="J46" s="571"/>
      <c r="K46" s="571"/>
      <c r="L46" s="571"/>
      <c r="M46" s="571"/>
      <c r="N46" s="571"/>
      <c r="O46" s="571"/>
      <c r="P46" s="571"/>
      <c r="Q46" s="571"/>
      <c r="R46" s="571"/>
      <c r="S46" s="571"/>
      <c r="T46" s="571"/>
      <c r="U46" s="571"/>
      <c r="V46" s="571"/>
      <c r="W46" s="571"/>
      <c r="X46" s="571"/>
      <c r="Y46" s="375"/>
      <c r="Z46" s="375"/>
      <c r="AA46" s="375"/>
      <c r="AB46" s="375"/>
      <c r="AC46" s="375"/>
      <c r="AD46" s="375"/>
      <c r="AE46" s="375"/>
      <c r="AF46" s="375"/>
      <c r="AG46" s="375"/>
      <c r="AH46" s="375"/>
      <c r="AI46" s="375"/>
      <c r="AJ46" s="375"/>
      <c r="AK46" s="375"/>
      <c r="AL46" s="406"/>
      <c r="AM46" s="406"/>
    </row>
    <row r="47" customFormat="false" ht="11.1" hidden="false" customHeight="true" outlineLevel="0" collapsed="false">
      <c r="A47" s="379" t="n">
        <v>29</v>
      </c>
      <c r="B47" s="379"/>
      <c r="C47" s="406" t="s">
        <v>1284</v>
      </c>
      <c r="D47" s="406"/>
      <c r="E47" s="406"/>
      <c r="F47" s="406"/>
      <c r="G47" s="406"/>
      <c r="H47" s="571"/>
      <c r="I47" s="571"/>
      <c r="J47" s="571"/>
      <c r="K47" s="571"/>
      <c r="L47" s="571"/>
      <c r="M47" s="571"/>
      <c r="N47" s="571"/>
      <c r="O47" s="571"/>
      <c r="P47" s="571"/>
      <c r="Q47" s="571"/>
      <c r="R47" s="571"/>
      <c r="S47" s="571"/>
      <c r="T47" s="571"/>
      <c r="U47" s="571"/>
      <c r="V47" s="571"/>
      <c r="W47" s="571"/>
      <c r="X47" s="571"/>
      <c r="Y47" s="375"/>
      <c r="Z47" s="375"/>
      <c r="AA47" s="375"/>
      <c r="AB47" s="375"/>
      <c r="AC47" s="375"/>
      <c r="AD47" s="375"/>
      <c r="AE47" s="375"/>
      <c r="AF47" s="375"/>
      <c r="AG47" s="375"/>
      <c r="AH47" s="375"/>
      <c r="AI47" s="375"/>
      <c r="AJ47" s="375"/>
      <c r="AK47" s="375"/>
      <c r="AL47" s="406"/>
      <c r="AM47" s="406"/>
    </row>
    <row r="48" customFormat="false" ht="11.1" hidden="false" customHeight="true" outlineLevel="0" collapsed="false">
      <c r="A48" s="379" t="n">
        <v>30</v>
      </c>
      <c r="B48" s="379"/>
      <c r="C48" s="406" t="s">
        <v>1285</v>
      </c>
      <c r="D48" s="406"/>
      <c r="E48" s="406"/>
      <c r="F48" s="406"/>
      <c r="G48" s="406"/>
      <c r="H48" s="571"/>
      <c r="I48" s="571"/>
      <c r="J48" s="571"/>
      <c r="K48" s="571"/>
      <c r="L48" s="571"/>
      <c r="M48" s="571"/>
      <c r="N48" s="571"/>
      <c r="O48" s="571"/>
      <c r="P48" s="571"/>
      <c r="Q48" s="571"/>
      <c r="R48" s="571"/>
      <c r="S48" s="571"/>
      <c r="T48" s="571"/>
      <c r="U48" s="571"/>
      <c r="V48" s="571"/>
      <c r="W48" s="571"/>
      <c r="X48" s="571"/>
      <c r="Y48" s="375"/>
      <c r="Z48" s="375"/>
      <c r="AA48" s="375"/>
      <c r="AB48" s="375"/>
      <c r="AC48" s="375"/>
      <c r="AD48" s="375"/>
      <c r="AE48" s="375"/>
      <c r="AF48" s="375"/>
      <c r="AG48" s="375"/>
      <c r="AH48" s="375"/>
      <c r="AI48" s="375"/>
      <c r="AJ48" s="375"/>
      <c r="AK48" s="375"/>
      <c r="AL48" s="406"/>
      <c r="AM48" s="406"/>
    </row>
    <row r="49" customFormat="false" ht="11.1" hidden="false" customHeight="true" outlineLevel="0" collapsed="false">
      <c r="A49" s="379" t="n">
        <v>31</v>
      </c>
      <c r="B49" s="379"/>
      <c r="C49" s="406" t="s">
        <v>1286</v>
      </c>
      <c r="D49" s="406"/>
      <c r="E49" s="406"/>
      <c r="F49" s="406"/>
      <c r="G49" s="406"/>
      <c r="H49" s="571"/>
      <c r="I49" s="571"/>
      <c r="J49" s="571"/>
      <c r="K49" s="571"/>
      <c r="L49" s="571"/>
      <c r="M49" s="571"/>
      <c r="N49" s="571"/>
      <c r="O49" s="571"/>
      <c r="P49" s="571"/>
      <c r="Q49" s="571"/>
      <c r="R49" s="571"/>
      <c r="S49" s="571"/>
      <c r="T49" s="571"/>
      <c r="U49" s="571"/>
      <c r="V49" s="571"/>
      <c r="W49" s="571"/>
      <c r="X49" s="571"/>
      <c r="Y49" s="375"/>
      <c r="Z49" s="375"/>
      <c r="AA49" s="375"/>
      <c r="AB49" s="375"/>
      <c r="AC49" s="375"/>
      <c r="AD49" s="375"/>
      <c r="AE49" s="375"/>
      <c r="AF49" s="375"/>
      <c r="AG49" s="375"/>
      <c r="AH49" s="375"/>
      <c r="AI49" s="375"/>
      <c r="AJ49" s="375"/>
      <c r="AK49" s="375"/>
      <c r="AL49" s="406"/>
      <c r="AM49" s="406"/>
    </row>
    <row r="50" customFormat="false" ht="11.1" hidden="false" customHeight="true" outlineLevel="0" collapsed="false">
      <c r="A50" s="379" t="n">
        <v>32</v>
      </c>
      <c r="B50" s="379"/>
      <c r="C50" s="406" t="s">
        <v>1287</v>
      </c>
      <c r="D50" s="406"/>
      <c r="E50" s="406"/>
      <c r="F50" s="406"/>
      <c r="G50" s="406"/>
      <c r="H50" s="571"/>
      <c r="I50" s="571"/>
      <c r="J50" s="571"/>
      <c r="K50" s="571"/>
      <c r="L50" s="571"/>
      <c r="M50" s="571"/>
      <c r="N50" s="571"/>
      <c r="O50" s="571"/>
      <c r="P50" s="571"/>
      <c r="Q50" s="571"/>
      <c r="R50" s="571"/>
      <c r="S50" s="571"/>
      <c r="T50" s="571"/>
      <c r="U50" s="571"/>
      <c r="V50" s="571"/>
      <c r="W50" s="571"/>
      <c r="X50" s="571"/>
      <c r="Y50" s="375"/>
      <c r="Z50" s="375"/>
      <c r="AA50" s="375"/>
      <c r="AB50" s="375"/>
      <c r="AC50" s="375"/>
      <c r="AD50" s="375"/>
      <c r="AE50" s="375"/>
      <c r="AF50" s="375"/>
      <c r="AG50" s="375"/>
      <c r="AH50" s="375"/>
      <c r="AI50" s="375"/>
      <c r="AJ50" s="375"/>
      <c r="AK50" s="375"/>
      <c r="AL50" s="406"/>
      <c r="AM50" s="406"/>
    </row>
    <row r="51" customFormat="false" ht="11.1" hidden="false" customHeight="true" outlineLevel="0" collapsed="false">
      <c r="A51" s="379" t="n">
        <v>33</v>
      </c>
      <c r="B51" s="379"/>
      <c r="C51" s="406" t="s">
        <v>1288</v>
      </c>
      <c r="D51" s="406"/>
      <c r="E51" s="406"/>
      <c r="F51" s="406"/>
      <c r="G51" s="406"/>
      <c r="H51" s="571"/>
      <c r="I51" s="571"/>
      <c r="J51" s="571"/>
      <c r="K51" s="571"/>
      <c r="L51" s="571"/>
      <c r="M51" s="571"/>
      <c r="N51" s="571"/>
      <c r="O51" s="571"/>
      <c r="P51" s="571"/>
      <c r="Q51" s="571"/>
      <c r="R51" s="571"/>
      <c r="S51" s="571"/>
      <c r="T51" s="571"/>
      <c r="U51" s="571"/>
      <c r="V51" s="571"/>
      <c r="W51" s="571"/>
      <c r="X51" s="571"/>
      <c r="Y51" s="375"/>
      <c r="Z51" s="375"/>
      <c r="AA51" s="375"/>
      <c r="AB51" s="375"/>
      <c r="AC51" s="375"/>
      <c r="AD51" s="375"/>
      <c r="AE51" s="375"/>
      <c r="AF51" s="375"/>
      <c r="AG51" s="375"/>
      <c r="AH51" s="375"/>
      <c r="AI51" s="375"/>
      <c r="AJ51" s="375"/>
      <c r="AK51" s="375"/>
      <c r="AL51" s="406"/>
      <c r="AM51" s="406"/>
    </row>
    <row r="52" customFormat="false" ht="11.1" hidden="false" customHeight="true" outlineLevel="0" collapsed="false">
      <c r="A52" s="379" t="n">
        <v>34</v>
      </c>
      <c r="B52" s="379"/>
      <c r="C52" s="406" t="s">
        <v>1289</v>
      </c>
      <c r="D52" s="406"/>
      <c r="E52" s="406"/>
      <c r="F52" s="406"/>
      <c r="G52" s="406"/>
      <c r="H52" s="571"/>
      <c r="I52" s="571"/>
      <c r="J52" s="571"/>
      <c r="K52" s="571"/>
      <c r="L52" s="571"/>
      <c r="M52" s="571"/>
      <c r="N52" s="571"/>
      <c r="O52" s="571"/>
      <c r="P52" s="571"/>
      <c r="Q52" s="571"/>
      <c r="R52" s="571"/>
      <c r="S52" s="571"/>
      <c r="T52" s="571"/>
      <c r="U52" s="571"/>
      <c r="V52" s="571"/>
      <c r="W52" s="571"/>
      <c r="X52" s="571"/>
      <c r="Y52" s="375"/>
      <c r="Z52" s="375"/>
      <c r="AA52" s="375"/>
      <c r="AB52" s="375"/>
      <c r="AC52" s="375"/>
      <c r="AD52" s="375"/>
      <c r="AE52" s="375"/>
      <c r="AF52" s="375"/>
      <c r="AG52" s="375"/>
      <c r="AH52" s="375"/>
      <c r="AI52" s="375"/>
      <c r="AJ52" s="375"/>
      <c r="AK52" s="375"/>
      <c r="AL52" s="406"/>
      <c r="AM52" s="406"/>
    </row>
    <row r="53" customFormat="false" ht="11.1" hidden="false" customHeight="true" outlineLevel="0" collapsed="false">
      <c r="A53" s="379" t="n">
        <v>35</v>
      </c>
      <c r="B53" s="379"/>
      <c r="C53" s="406" t="s">
        <v>1290</v>
      </c>
      <c r="D53" s="406"/>
      <c r="E53" s="406"/>
      <c r="F53" s="406"/>
      <c r="G53" s="406"/>
      <c r="H53" s="571"/>
      <c r="I53" s="571"/>
      <c r="J53" s="571"/>
      <c r="K53" s="571"/>
      <c r="L53" s="571"/>
      <c r="M53" s="571"/>
      <c r="N53" s="571"/>
      <c r="O53" s="571"/>
      <c r="P53" s="571"/>
      <c r="Q53" s="571"/>
      <c r="R53" s="571"/>
      <c r="S53" s="571"/>
      <c r="T53" s="571"/>
      <c r="U53" s="571"/>
      <c r="V53" s="571"/>
      <c r="W53" s="571"/>
      <c r="X53" s="571"/>
      <c r="Y53" s="375"/>
      <c r="Z53" s="375"/>
      <c r="AA53" s="375"/>
      <c r="AB53" s="375"/>
      <c r="AC53" s="375"/>
      <c r="AD53" s="375"/>
      <c r="AE53" s="375"/>
      <c r="AF53" s="375"/>
      <c r="AG53" s="375"/>
      <c r="AH53" s="375"/>
      <c r="AI53" s="375"/>
      <c r="AJ53" s="375"/>
      <c r="AK53" s="375"/>
      <c r="AL53" s="406"/>
      <c r="AM53" s="406"/>
    </row>
    <row r="54" customFormat="false" ht="11.1" hidden="false" customHeight="true" outlineLevel="0" collapsed="false">
      <c r="A54" s="379" t="n">
        <v>36</v>
      </c>
      <c r="B54" s="379"/>
      <c r="C54" s="406" t="s">
        <v>1291</v>
      </c>
      <c r="D54" s="406"/>
      <c r="E54" s="406"/>
      <c r="F54" s="406"/>
      <c r="G54" s="406"/>
      <c r="H54" s="571"/>
      <c r="I54" s="571"/>
      <c r="J54" s="571"/>
      <c r="K54" s="571"/>
      <c r="L54" s="571"/>
      <c r="M54" s="571"/>
      <c r="N54" s="571"/>
      <c r="O54" s="571"/>
      <c r="P54" s="571"/>
      <c r="Q54" s="571"/>
      <c r="R54" s="571"/>
      <c r="S54" s="571"/>
      <c r="T54" s="571"/>
      <c r="U54" s="571"/>
      <c r="V54" s="571"/>
      <c r="W54" s="571"/>
      <c r="X54" s="571"/>
      <c r="Y54" s="375"/>
      <c r="Z54" s="375"/>
      <c r="AA54" s="375"/>
      <c r="AB54" s="375"/>
      <c r="AC54" s="375"/>
      <c r="AD54" s="375"/>
      <c r="AE54" s="375"/>
      <c r="AF54" s="375"/>
      <c r="AG54" s="375"/>
      <c r="AH54" s="375"/>
      <c r="AI54" s="375"/>
      <c r="AJ54" s="375"/>
      <c r="AK54" s="375"/>
      <c r="AL54" s="406"/>
      <c r="AM54" s="406"/>
    </row>
    <row r="55" customFormat="false" ht="11.1" hidden="false" customHeight="true" outlineLevel="0" collapsed="false">
      <c r="A55" s="379" t="n">
        <v>37</v>
      </c>
      <c r="B55" s="379"/>
      <c r="C55" s="406" t="s">
        <v>1292</v>
      </c>
      <c r="D55" s="406"/>
      <c r="E55" s="406"/>
      <c r="F55" s="406"/>
      <c r="G55" s="406"/>
      <c r="H55" s="571"/>
      <c r="I55" s="571"/>
      <c r="J55" s="571"/>
      <c r="K55" s="571"/>
      <c r="L55" s="571"/>
      <c r="M55" s="571"/>
      <c r="N55" s="571"/>
      <c r="O55" s="571"/>
      <c r="P55" s="571"/>
      <c r="Q55" s="571"/>
      <c r="R55" s="571"/>
      <c r="S55" s="571"/>
      <c r="T55" s="571"/>
      <c r="U55" s="571"/>
      <c r="V55" s="571"/>
      <c r="W55" s="571"/>
      <c r="X55" s="571"/>
      <c r="Y55" s="375"/>
      <c r="Z55" s="375"/>
      <c r="AA55" s="375"/>
      <c r="AB55" s="375"/>
      <c r="AC55" s="375"/>
      <c r="AD55" s="375"/>
      <c r="AE55" s="375"/>
      <c r="AF55" s="375"/>
      <c r="AG55" s="375"/>
      <c r="AH55" s="375"/>
      <c r="AI55" s="375"/>
      <c r="AJ55" s="375"/>
      <c r="AK55" s="375"/>
      <c r="AL55" s="406"/>
      <c r="AM55" s="406"/>
    </row>
    <row r="56" customFormat="false" ht="11.1" hidden="false" customHeight="true" outlineLevel="0" collapsed="false">
      <c r="A56" s="379" t="n">
        <v>38</v>
      </c>
      <c r="B56" s="379"/>
      <c r="C56" s="406" t="s">
        <v>1293</v>
      </c>
      <c r="D56" s="406"/>
      <c r="E56" s="406"/>
      <c r="F56" s="406"/>
      <c r="G56" s="406"/>
      <c r="H56" s="571"/>
      <c r="I56" s="571"/>
      <c r="J56" s="571"/>
      <c r="K56" s="571"/>
      <c r="L56" s="571"/>
      <c r="M56" s="571"/>
      <c r="N56" s="571"/>
      <c r="O56" s="571"/>
      <c r="P56" s="571"/>
      <c r="Q56" s="571"/>
      <c r="R56" s="571"/>
      <c r="S56" s="571"/>
      <c r="T56" s="571"/>
      <c r="U56" s="571"/>
      <c r="V56" s="571"/>
      <c r="W56" s="571"/>
      <c r="X56" s="571"/>
      <c r="Y56" s="375"/>
      <c r="Z56" s="375"/>
      <c r="AA56" s="375"/>
      <c r="AB56" s="375"/>
      <c r="AC56" s="375"/>
      <c r="AD56" s="375"/>
      <c r="AE56" s="375"/>
      <c r="AF56" s="375"/>
      <c r="AG56" s="375"/>
      <c r="AH56" s="375"/>
      <c r="AI56" s="375"/>
      <c r="AJ56" s="375"/>
      <c r="AK56" s="375"/>
      <c r="AL56" s="406"/>
      <c r="AM56" s="406"/>
    </row>
    <row r="57" customFormat="false" ht="11.1" hidden="false" customHeight="true" outlineLevel="0" collapsed="false">
      <c r="A57" s="379" t="n">
        <v>39</v>
      </c>
      <c r="B57" s="379"/>
      <c r="C57" s="406" t="s">
        <v>1294</v>
      </c>
      <c r="D57" s="406"/>
      <c r="E57" s="406"/>
      <c r="F57" s="406"/>
      <c r="G57" s="406"/>
      <c r="H57" s="571"/>
      <c r="I57" s="571"/>
      <c r="J57" s="571"/>
      <c r="K57" s="571"/>
      <c r="L57" s="571"/>
      <c r="M57" s="571"/>
      <c r="N57" s="571"/>
      <c r="O57" s="571"/>
      <c r="P57" s="571"/>
      <c r="Q57" s="571"/>
      <c r="R57" s="571"/>
      <c r="S57" s="571"/>
      <c r="T57" s="571"/>
      <c r="U57" s="571"/>
      <c r="V57" s="571"/>
      <c r="W57" s="571"/>
      <c r="X57" s="571"/>
      <c r="Y57" s="375"/>
      <c r="Z57" s="375"/>
      <c r="AA57" s="375"/>
      <c r="AB57" s="375"/>
      <c r="AC57" s="375"/>
      <c r="AD57" s="375"/>
      <c r="AE57" s="375"/>
      <c r="AF57" s="375"/>
      <c r="AG57" s="375"/>
      <c r="AH57" s="375"/>
      <c r="AI57" s="375"/>
      <c r="AJ57" s="375"/>
      <c r="AK57" s="375"/>
      <c r="AL57" s="406"/>
      <c r="AM57" s="406"/>
    </row>
    <row r="58" customFormat="false" ht="11.1" hidden="false" customHeight="true" outlineLevel="0" collapsed="false">
      <c r="A58" s="379" t="n">
        <v>40</v>
      </c>
      <c r="B58" s="379"/>
      <c r="C58" s="406" t="s">
        <v>1295</v>
      </c>
      <c r="D58" s="406"/>
      <c r="E58" s="406"/>
      <c r="F58" s="406"/>
      <c r="G58" s="406"/>
      <c r="H58" s="571"/>
      <c r="I58" s="571"/>
      <c r="J58" s="571"/>
      <c r="K58" s="571"/>
      <c r="L58" s="571"/>
      <c r="M58" s="571"/>
      <c r="N58" s="571"/>
      <c r="O58" s="571"/>
      <c r="P58" s="571"/>
      <c r="Q58" s="571"/>
      <c r="R58" s="571"/>
      <c r="S58" s="571"/>
      <c r="T58" s="571"/>
      <c r="U58" s="571"/>
      <c r="V58" s="571"/>
      <c r="W58" s="571"/>
      <c r="X58" s="571"/>
      <c r="Y58" s="375"/>
      <c r="Z58" s="375"/>
      <c r="AA58" s="375"/>
      <c r="AB58" s="375"/>
      <c r="AC58" s="375"/>
      <c r="AD58" s="375"/>
      <c r="AE58" s="375"/>
      <c r="AF58" s="375"/>
      <c r="AG58" s="375"/>
      <c r="AH58" s="375"/>
      <c r="AI58" s="375"/>
      <c r="AJ58" s="375"/>
      <c r="AK58" s="375"/>
      <c r="AL58" s="406"/>
      <c r="AM58" s="406"/>
    </row>
    <row r="59" customFormat="false" ht="11.1" hidden="false" customHeight="true" outlineLevel="0" collapsed="false">
      <c r="A59" s="379" t="n">
        <v>41</v>
      </c>
      <c r="B59" s="379"/>
      <c r="C59" s="406" t="s">
        <v>1296</v>
      </c>
      <c r="D59" s="406"/>
      <c r="E59" s="406"/>
      <c r="F59" s="406"/>
      <c r="G59" s="406"/>
      <c r="H59" s="571"/>
      <c r="I59" s="571"/>
      <c r="J59" s="571"/>
      <c r="K59" s="571"/>
      <c r="L59" s="571"/>
      <c r="M59" s="571"/>
      <c r="N59" s="571"/>
      <c r="O59" s="571"/>
      <c r="P59" s="571"/>
      <c r="Q59" s="571"/>
      <c r="R59" s="571"/>
      <c r="S59" s="571"/>
      <c r="T59" s="571"/>
      <c r="U59" s="571"/>
      <c r="V59" s="571"/>
      <c r="W59" s="571"/>
      <c r="X59" s="571"/>
      <c r="Y59" s="375"/>
      <c r="Z59" s="375"/>
      <c r="AA59" s="375"/>
      <c r="AB59" s="375"/>
      <c r="AC59" s="375"/>
      <c r="AD59" s="375"/>
      <c r="AE59" s="375"/>
      <c r="AF59" s="375"/>
      <c r="AG59" s="375"/>
      <c r="AH59" s="375"/>
      <c r="AI59" s="375"/>
      <c r="AJ59" s="375"/>
      <c r="AK59" s="375"/>
      <c r="AL59" s="406"/>
      <c r="AM59" s="406"/>
    </row>
    <row r="60" customFormat="false" ht="11.1" hidden="false" customHeight="true" outlineLevel="0" collapsed="false">
      <c r="A60" s="379" t="n">
        <v>42</v>
      </c>
      <c r="B60" s="379"/>
      <c r="C60" s="406" t="s">
        <v>1297</v>
      </c>
      <c r="D60" s="406"/>
      <c r="E60" s="406"/>
      <c r="F60" s="406"/>
      <c r="G60" s="406"/>
      <c r="H60" s="571"/>
      <c r="I60" s="571"/>
      <c r="J60" s="571"/>
      <c r="K60" s="571"/>
      <c r="L60" s="571"/>
      <c r="M60" s="571"/>
      <c r="N60" s="571"/>
      <c r="O60" s="571"/>
      <c r="P60" s="571"/>
      <c r="Q60" s="571"/>
      <c r="R60" s="571"/>
      <c r="S60" s="571"/>
      <c r="T60" s="571"/>
      <c r="U60" s="571"/>
      <c r="V60" s="571"/>
      <c r="W60" s="571"/>
      <c r="X60" s="571"/>
      <c r="Y60" s="375"/>
      <c r="Z60" s="375"/>
      <c r="AA60" s="375"/>
      <c r="AB60" s="375"/>
      <c r="AC60" s="375"/>
      <c r="AD60" s="375"/>
      <c r="AE60" s="375"/>
      <c r="AF60" s="375"/>
      <c r="AG60" s="375"/>
      <c r="AH60" s="375"/>
      <c r="AI60" s="375"/>
      <c r="AJ60" s="375"/>
      <c r="AK60" s="375"/>
      <c r="AL60" s="406"/>
      <c r="AM60" s="406"/>
    </row>
    <row r="61" customFormat="false" ht="11.1" hidden="false" customHeight="true" outlineLevel="0" collapsed="false">
      <c r="A61" s="379" t="n">
        <v>43</v>
      </c>
      <c r="B61" s="379"/>
      <c r="C61" s="406" t="s">
        <v>1298</v>
      </c>
      <c r="D61" s="406"/>
      <c r="E61" s="406"/>
      <c r="F61" s="406"/>
      <c r="G61" s="406"/>
      <c r="H61" s="571"/>
      <c r="I61" s="571"/>
      <c r="J61" s="571"/>
      <c r="K61" s="571"/>
      <c r="L61" s="571"/>
      <c r="M61" s="571"/>
      <c r="N61" s="571"/>
      <c r="O61" s="571"/>
      <c r="P61" s="571"/>
      <c r="Q61" s="571"/>
      <c r="R61" s="571"/>
      <c r="S61" s="571"/>
      <c r="T61" s="571"/>
      <c r="U61" s="571"/>
      <c r="V61" s="571"/>
      <c r="W61" s="571"/>
      <c r="X61" s="571"/>
      <c r="Y61" s="375"/>
      <c r="Z61" s="375"/>
      <c r="AA61" s="375"/>
      <c r="AB61" s="375"/>
      <c r="AC61" s="375"/>
      <c r="AD61" s="375"/>
      <c r="AE61" s="375"/>
      <c r="AF61" s="375"/>
      <c r="AG61" s="375"/>
      <c r="AH61" s="375"/>
      <c r="AI61" s="375"/>
      <c r="AJ61" s="375"/>
      <c r="AK61" s="375"/>
      <c r="AL61" s="406"/>
      <c r="AM61" s="406"/>
    </row>
    <row r="62" customFormat="false" ht="11.1" hidden="false" customHeight="true" outlineLevel="0" collapsed="false">
      <c r="A62" s="379" t="n">
        <v>44</v>
      </c>
      <c r="B62" s="379"/>
      <c r="C62" s="406" t="s">
        <v>1299</v>
      </c>
      <c r="D62" s="406"/>
      <c r="E62" s="406"/>
      <c r="F62" s="406"/>
      <c r="G62" s="406"/>
      <c r="H62" s="571"/>
      <c r="I62" s="571"/>
      <c r="J62" s="571"/>
      <c r="K62" s="571"/>
      <c r="L62" s="571"/>
      <c r="M62" s="571"/>
      <c r="N62" s="571"/>
      <c r="O62" s="571"/>
      <c r="P62" s="571"/>
      <c r="Q62" s="571"/>
      <c r="R62" s="571"/>
      <c r="S62" s="571"/>
      <c r="T62" s="571"/>
      <c r="U62" s="571"/>
      <c r="V62" s="571"/>
      <c r="W62" s="571"/>
      <c r="X62" s="571"/>
      <c r="Y62" s="375"/>
      <c r="Z62" s="375"/>
      <c r="AA62" s="375"/>
      <c r="AB62" s="375"/>
      <c r="AC62" s="375"/>
      <c r="AD62" s="375"/>
      <c r="AE62" s="375"/>
      <c r="AF62" s="375"/>
      <c r="AG62" s="375"/>
      <c r="AH62" s="375"/>
      <c r="AI62" s="375"/>
      <c r="AJ62" s="375"/>
      <c r="AK62" s="375"/>
      <c r="AL62" s="406"/>
      <c r="AM62" s="406"/>
    </row>
    <row r="63" customFormat="false" ht="11.1" hidden="false" customHeight="true" outlineLevel="0" collapsed="false">
      <c r="A63" s="379" t="n">
        <v>45</v>
      </c>
      <c r="B63" s="379"/>
      <c r="C63" s="406" t="s">
        <v>1300</v>
      </c>
      <c r="D63" s="406"/>
      <c r="E63" s="406"/>
      <c r="F63" s="406"/>
      <c r="G63" s="406"/>
      <c r="H63" s="571"/>
      <c r="I63" s="571"/>
      <c r="J63" s="571"/>
      <c r="K63" s="571"/>
      <c r="L63" s="571"/>
      <c r="M63" s="571"/>
      <c r="N63" s="571"/>
      <c r="O63" s="571"/>
      <c r="P63" s="571"/>
      <c r="Q63" s="571"/>
      <c r="R63" s="571"/>
      <c r="S63" s="571"/>
      <c r="T63" s="571"/>
      <c r="U63" s="571"/>
      <c r="V63" s="571"/>
      <c r="W63" s="571"/>
      <c r="X63" s="571"/>
      <c r="Y63" s="375"/>
      <c r="Z63" s="375"/>
      <c r="AA63" s="375"/>
      <c r="AB63" s="375"/>
      <c r="AC63" s="375"/>
      <c r="AD63" s="375"/>
      <c r="AE63" s="375"/>
      <c r="AF63" s="375"/>
      <c r="AG63" s="375"/>
      <c r="AH63" s="375"/>
      <c r="AI63" s="375"/>
      <c r="AJ63" s="375"/>
      <c r="AK63" s="375"/>
      <c r="AL63" s="406"/>
      <c r="AM63" s="406"/>
    </row>
    <row r="64" customFormat="false" ht="11.1" hidden="false" customHeight="true" outlineLevel="0" collapsed="false">
      <c r="A64" s="379" t="n">
        <v>46</v>
      </c>
      <c r="B64" s="379"/>
      <c r="C64" s="406" t="s">
        <v>1301</v>
      </c>
      <c r="D64" s="406"/>
      <c r="E64" s="406"/>
      <c r="F64" s="406"/>
      <c r="G64" s="406"/>
      <c r="H64" s="571"/>
      <c r="I64" s="571"/>
      <c r="J64" s="571"/>
      <c r="K64" s="571"/>
      <c r="L64" s="571"/>
      <c r="M64" s="571"/>
      <c r="N64" s="571"/>
      <c r="O64" s="571"/>
      <c r="P64" s="571"/>
      <c r="Q64" s="571"/>
      <c r="R64" s="571"/>
      <c r="S64" s="571"/>
      <c r="T64" s="571"/>
      <c r="U64" s="571"/>
      <c r="V64" s="571"/>
      <c r="W64" s="571"/>
      <c r="X64" s="571"/>
      <c r="Y64" s="375"/>
      <c r="Z64" s="375"/>
      <c r="AA64" s="375"/>
      <c r="AB64" s="375"/>
      <c r="AC64" s="375"/>
      <c r="AD64" s="375"/>
      <c r="AE64" s="375"/>
      <c r="AF64" s="375"/>
      <c r="AG64" s="375"/>
      <c r="AH64" s="375"/>
      <c r="AI64" s="375"/>
      <c r="AJ64" s="375"/>
      <c r="AK64" s="375"/>
      <c r="AL64" s="406"/>
      <c r="AM64" s="406"/>
    </row>
    <row r="65" customFormat="false" ht="11.1" hidden="false" customHeight="true" outlineLevel="0" collapsed="false">
      <c r="A65" s="379" t="n">
        <v>47</v>
      </c>
      <c r="B65" s="379"/>
      <c r="C65" s="406" t="s">
        <v>1302</v>
      </c>
      <c r="D65" s="406"/>
      <c r="E65" s="406"/>
      <c r="F65" s="406"/>
      <c r="G65" s="406"/>
      <c r="H65" s="580" t="s">
        <v>859</v>
      </c>
      <c r="I65" s="580"/>
      <c r="J65" s="580"/>
      <c r="K65" s="580"/>
      <c r="L65" s="580"/>
      <c r="M65" s="580"/>
      <c r="N65" s="580"/>
      <c r="O65" s="580"/>
      <c r="P65" s="392" t="s">
        <v>1133</v>
      </c>
      <c r="Q65" s="392"/>
      <c r="R65" s="392"/>
      <c r="S65" s="392"/>
      <c r="T65" s="392"/>
      <c r="U65" s="392"/>
      <c r="V65" s="392"/>
      <c r="W65" s="392"/>
      <c r="X65" s="392" t="s">
        <v>860</v>
      </c>
      <c r="Y65" s="392"/>
      <c r="Z65" s="392"/>
      <c r="AA65" s="392"/>
      <c r="AB65" s="392"/>
      <c r="AC65" s="392"/>
      <c r="AD65" s="392"/>
      <c r="AE65" s="392"/>
      <c r="AF65" s="393" t="s">
        <v>239</v>
      </c>
      <c r="AG65" s="393"/>
      <c r="AH65" s="393"/>
      <c r="AI65" s="393"/>
      <c r="AJ65" s="393"/>
      <c r="AK65" s="393"/>
      <c r="AL65" s="393"/>
      <c r="AM65" s="393"/>
    </row>
    <row r="66" customFormat="false" ht="11.1" hidden="false" customHeight="true" outlineLevel="0" collapsed="false">
      <c r="A66" s="379" t="n">
        <v>48</v>
      </c>
      <c r="B66" s="379"/>
      <c r="C66" s="406" t="s">
        <v>1303</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1304</v>
      </c>
      <c r="D67" s="406"/>
      <c r="E67" s="406"/>
      <c r="F67" s="406"/>
      <c r="G67" s="406"/>
      <c r="H67" s="580" t="s">
        <v>243</v>
      </c>
      <c r="I67" s="580"/>
      <c r="J67" s="580"/>
      <c r="K67" s="580"/>
      <c r="L67" s="580"/>
      <c r="M67" s="580"/>
      <c r="N67" s="580"/>
      <c r="O67" s="580"/>
      <c r="P67" s="392" t="s">
        <v>854</v>
      </c>
      <c r="Q67" s="392"/>
      <c r="R67" s="392"/>
      <c r="S67" s="392"/>
      <c r="T67" s="392"/>
      <c r="U67" s="392"/>
      <c r="V67" s="392"/>
      <c r="W67" s="392"/>
      <c r="X67" s="392" t="s">
        <v>866</v>
      </c>
      <c r="Y67" s="392"/>
      <c r="Z67" s="392"/>
      <c r="AA67" s="392"/>
      <c r="AB67" s="392"/>
      <c r="AC67" s="392"/>
      <c r="AD67" s="392"/>
      <c r="AE67" s="392"/>
      <c r="AF67" s="393" t="s">
        <v>1134</v>
      </c>
      <c r="AG67" s="393"/>
      <c r="AH67" s="393"/>
      <c r="AI67" s="393"/>
      <c r="AJ67" s="393"/>
      <c r="AK67" s="393"/>
      <c r="AL67" s="393"/>
      <c r="AM67" s="393"/>
    </row>
    <row r="68" customFormat="false" ht="11.1" hidden="false" customHeight="true" outlineLevel="0" collapsed="false">
      <c r="A68" s="394" t="n">
        <v>50</v>
      </c>
      <c r="B68" s="394"/>
      <c r="C68" s="582" t="s">
        <v>1305</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435">
    <mergeCell ref="A1:AM1"/>
    <mergeCell ref="A2:AJ2"/>
    <mergeCell ref="AK2:AM2"/>
    <mergeCell ref="A3:M3"/>
    <mergeCell ref="N3:Z3"/>
    <mergeCell ref="AA3:AM3"/>
    <mergeCell ref="A4:M4"/>
    <mergeCell ref="N4:Z4"/>
    <mergeCell ref="AA4:AH4"/>
    <mergeCell ref="AI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M8"/>
    <mergeCell ref="A9:M9"/>
    <mergeCell ref="N9:Z9"/>
    <mergeCell ref="AA9:AH9"/>
    <mergeCell ref="AI9:AL9"/>
    <mergeCell ref="A10:M10"/>
    <mergeCell ref="N10:R10"/>
    <mergeCell ref="S10:T10"/>
    <mergeCell ref="U10:Y10"/>
    <mergeCell ref="AA10:AM10"/>
    <mergeCell ref="A11:M11"/>
    <mergeCell ref="O11:R11"/>
    <mergeCell ref="S11:T11"/>
    <mergeCell ref="U11:Y11"/>
    <mergeCell ref="AA11:AH11"/>
    <mergeCell ref="AI11:AJ11"/>
    <mergeCell ref="AK11:AL11"/>
    <mergeCell ref="A12:M12"/>
    <mergeCell ref="O12:R12"/>
    <mergeCell ref="S12:T12"/>
    <mergeCell ref="U12:Y12"/>
    <mergeCell ref="AA12:AH12"/>
    <mergeCell ref="AI12:AJ12"/>
    <mergeCell ref="AK12:AL12"/>
    <mergeCell ref="A13:M13"/>
    <mergeCell ref="O13:R13"/>
    <mergeCell ref="S13:T13"/>
    <mergeCell ref="U13:Y13"/>
    <mergeCell ref="AA13:AH13"/>
    <mergeCell ref="AI13:AJ13"/>
    <mergeCell ref="AK13:AL13"/>
    <mergeCell ref="A14:M14"/>
    <mergeCell ref="N14:Z14"/>
    <mergeCell ref="AA14:AM14"/>
    <mergeCell ref="A15:M15"/>
    <mergeCell ref="N15:Z15"/>
    <mergeCell ref="AA15:AH15"/>
    <mergeCell ref="AJ15:AL15"/>
    <mergeCell ref="A16:AM16"/>
    <mergeCell ref="A17:M17"/>
    <mergeCell ref="N17:Z17"/>
    <mergeCell ref="AA17:AM17"/>
    <mergeCell ref="A18:G18"/>
    <mergeCell ref="H18:AM18"/>
    <mergeCell ref="A19:B19"/>
    <mergeCell ref="C19:G19"/>
    <mergeCell ref="H19:AB19"/>
    <mergeCell ref="AC19:AE19"/>
    <mergeCell ref="AF19:AG19"/>
    <mergeCell ref="AH19:AM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M30"/>
    <mergeCell ref="A31:B31"/>
    <mergeCell ref="C31:G31"/>
    <mergeCell ref="H31:V31"/>
    <mergeCell ref="W31:AB31"/>
    <mergeCell ref="AC31:AE31"/>
    <mergeCell ref="AF31:AM31"/>
    <mergeCell ref="A32:B32"/>
    <mergeCell ref="C32:G32"/>
    <mergeCell ref="H32:V32"/>
    <mergeCell ref="W32:X32"/>
    <mergeCell ref="Y32:AB32"/>
    <mergeCell ref="AC32:AE32"/>
    <mergeCell ref="AF32:AG32"/>
    <mergeCell ref="AH32:AM32"/>
    <mergeCell ref="A33:B33"/>
    <mergeCell ref="C33:G33"/>
    <mergeCell ref="H33:V33"/>
    <mergeCell ref="W33:X33"/>
    <mergeCell ref="Y33:AB33"/>
    <mergeCell ref="AC33:AE33"/>
    <mergeCell ref="AF33:AG33"/>
    <mergeCell ref="AH33:AM33"/>
    <mergeCell ref="A34:B34"/>
    <mergeCell ref="C34:G34"/>
    <mergeCell ref="H34:V34"/>
    <mergeCell ref="W34:X34"/>
    <mergeCell ref="Y34:AB34"/>
    <mergeCell ref="AC34:AE34"/>
    <mergeCell ref="AF34:AG34"/>
    <mergeCell ref="AH34:AM34"/>
    <mergeCell ref="A35:B35"/>
    <mergeCell ref="C35:G35"/>
    <mergeCell ref="H35:V35"/>
    <mergeCell ref="W35:X35"/>
    <mergeCell ref="Y35:AB35"/>
    <mergeCell ref="AC35:AE35"/>
    <mergeCell ref="AF35:AG35"/>
    <mergeCell ref="AH35:AM35"/>
    <mergeCell ref="A36:B36"/>
    <mergeCell ref="C36:G36"/>
    <mergeCell ref="H36:V36"/>
    <mergeCell ref="W36:X36"/>
    <mergeCell ref="Y36:AB36"/>
    <mergeCell ref="AC36:AE36"/>
    <mergeCell ref="AF36:AG36"/>
    <mergeCell ref="AH36:AM36"/>
    <mergeCell ref="A37:B37"/>
    <mergeCell ref="C37:G37"/>
    <mergeCell ref="H37:V37"/>
    <mergeCell ref="W37:X37"/>
    <mergeCell ref="Y37:AB37"/>
    <mergeCell ref="AC37:AE37"/>
    <mergeCell ref="AF37:AG37"/>
    <mergeCell ref="AH37:AM37"/>
    <mergeCell ref="A38:B38"/>
    <mergeCell ref="C38:G38"/>
    <mergeCell ref="H38:V38"/>
    <mergeCell ref="W38:X38"/>
    <mergeCell ref="Y38:AB38"/>
    <mergeCell ref="AC38:AE38"/>
    <mergeCell ref="AF38:AG38"/>
    <mergeCell ref="AH38:AM38"/>
    <mergeCell ref="A39:B39"/>
    <mergeCell ref="C39:G39"/>
    <mergeCell ref="H39:V39"/>
    <mergeCell ref="W39:X39"/>
    <mergeCell ref="Y39:AB39"/>
    <mergeCell ref="AC39:AE39"/>
    <mergeCell ref="AF39:AG39"/>
    <mergeCell ref="AH39:AM39"/>
    <mergeCell ref="A40:B40"/>
    <mergeCell ref="C40:G40"/>
    <mergeCell ref="H40:V40"/>
    <mergeCell ref="W40:X40"/>
    <mergeCell ref="Y40:AB40"/>
    <mergeCell ref="AC40:AE40"/>
    <mergeCell ref="AF40:AG40"/>
    <mergeCell ref="AH40:AM40"/>
    <mergeCell ref="A41:B41"/>
    <mergeCell ref="C41:G41"/>
    <mergeCell ref="H41:V41"/>
    <mergeCell ref="W41:X41"/>
    <mergeCell ref="Y41:AB41"/>
    <mergeCell ref="AC41:AE41"/>
    <mergeCell ref="AF41:AG41"/>
    <mergeCell ref="AH41:AM41"/>
    <mergeCell ref="A42:B42"/>
    <mergeCell ref="C42:G42"/>
    <mergeCell ref="H42:AM42"/>
    <mergeCell ref="A43:B43"/>
    <mergeCell ref="C43:G43"/>
    <mergeCell ref="H43:X43"/>
    <mergeCell ref="Y43:Z43"/>
    <mergeCell ref="AA43:AC43"/>
    <mergeCell ref="AD43:AE43"/>
    <mergeCell ref="AF43:AK43"/>
    <mergeCell ref="AL43:AM43"/>
    <mergeCell ref="A44:B44"/>
    <mergeCell ref="C44:G44"/>
    <mergeCell ref="H44:X44"/>
    <mergeCell ref="Y44:Z44"/>
    <mergeCell ref="AA44:AC44"/>
    <mergeCell ref="AD44:AE44"/>
    <mergeCell ref="AF44:AK44"/>
    <mergeCell ref="AL44:AM44"/>
    <mergeCell ref="A45:B45"/>
    <mergeCell ref="C45:G45"/>
    <mergeCell ref="H45:X45"/>
    <mergeCell ref="Y45:Z45"/>
    <mergeCell ref="AA45:AC45"/>
    <mergeCell ref="AD45:AE45"/>
    <mergeCell ref="AF45:AK45"/>
    <mergeCell ref="AL45:AM45"/>
    <mergeCell ref="A46:B46"/>
    <mergeCell ref="C46:G46"/>
    <mergeCell ref="H46:X46"/>
    <mergeCell ref="Y46:Z46"/>
    <mergeCell ref="AA46:AC46"/>
    <mergeCell ref="AD46:AE46"/>
    <mergeCell ref="AF46:AK46"/>
    <mergeCell ref="AL46:AM46"/>
    <mergeCell ref="A47:B47"/>
    <mergeCell ref="C47:G47"/>
    <mergeCell ref="H47:X47"/>
    <mergeCell ref="Y47:Z47"/>
    <mergeCell ref="AA47:AC47"/>
    <mergeCell ref="AD47:AE47"/>
    <mergeCell ref="AF47:AK47"/>
    <mergeCell ref="AL47:AM47"/>
    <mergeCell ref="A48:B48"/>
    <mergeCell ref="C48:G48"/>
    <mergeCell ref="H48:X48"/>
    <mergeCell ref="Y48:Z48"/>
    <mergeCell ref="AA48:AC48"/>
    <mergeCell ref="AD48:AE48"/>
    <mergeCell ref="AF48:AK48"/>
    <mergeCell ref="AL48:AM48"/>
    <mergeCell ref="A49:B49"/>
    <mergeCell ref="C49:G49"/>
    <mergeCell ref="H49:X49"/>
    <mergeCell ref="Y49:Z49"/>
    <mergeCell ref="AA49:AC49"/>
    <mergeCell ref="AD49:AE49"/>
    <mergeCell ref="AF49:AK49"/>
    <mergeCell ref="AL49:AM49"/>
    <mergeCell ref="A50:B50"/>
    <mergeCell ref="C50:G50"/>
    <mergeCell ref="H50:X50"/>
    <mergeCell ref="Y50:Z50"/>
    <mergeCell ref="AA50:AC50"/>
    <mergeCell ref="AD50:AE50"/>
    <mergeCell ref="AF50:AK50"/>
    <mergeCell ref="AL50:AM50"/>
    <mergeCell ref="A51:B51"/>
    <mergeCell ref="C51:G51"/>
    <mergeCell ref="H51:X51"/>
    <mergeCell ref="Y51:Z51"/>
    <mergeCell ref="AA51:AC51"/>
    <mergeCell ref="AD51:AE51"/>
    <mergeCell ref="AF51:AK51"/>
    <mergeCell ref="AL51:AM51"/>
    <mergeCell ref="A52:B52"/>
    <mergeCell ref="C52:G52"/>
    <mergeCell ref="H52:X52"/>
    <mergeCell ref="Y52:Z52"/>
    <mergeCell ref="AA52:AC52"/>
    <mergeCell ref="AD52:AE52"/>
    <mergeCell ref="AF52:AK52"/>
    <mergeCell ref="AL52:AM52"/>
    <mergeCell ref="A53:B53"/>
    <mergeCell ref="C53:G53"/>
    <mergeCell ref="H53:X53"/>
    <mergeCell ref="Y53:Z53"/>
    <mergeCell ref="AA53:AC53"/>
    <mergeCell ref="AD53:AE53"/>
    <mergeCell ref="AF53:AK53"/>
    <mergeCell ref="AL53:AM53"/>
    <mergeCell ref="A54:B54"/>
    <mergeCell ref="C54:G54"/>
    <mergeCell ref="H54:X54"/>
    <mergeCell ref="Y54:Z54"/>
    <mergeCell ref="AA54:AC54"/>
    <mergeCell ref="AD54:AE54"/>
    <mergeCell ref="AF54:AK54"/>
    <mergeCell ref="AL54:AM54"/>
    <mergeCell ref="A55:B55"/>
    <mergeCell ref="C55:G55"/>
    <mergeCell ref="H55:X55"/>
    <mergeCell ref="Y55:Z55"/>
    <mergeCell ref="AA55:AC55"/>
    <mergeCell ref="AD55:AE55"/>
    <mergeCell ref="AF55:AK55"/>
    <mergeCell ref="AL55:AM55"/>
    <mergeCell ref="A56:B56"/>
    <mergeCell ref="C56:G56"/>
    <mergeCell ref="H56:X56"/>
    <mergeCell ref="Y56:Z56"/>
    <mergeCell ref="AA56:AC56"/>
    <mergeCell ref="AD56:AE56"/>
    <mergeCell ref="AF56:AK56"/>
    <mergeCell ref="AL56:AM56"/>
    <mergeCell ref="A57:B57"/>
    <mergeCell ref="C57:G57"/>
    <mergeCell ref="H57:X57"/>
    <mergeCell ref="Y57:Z57"/>
    <mergeCell ref="AA57:AC57"/>
    <mergeCell ref="AD57:AE57"/>
    <mergeCell ref="AF57:AK57"/>
    <mergeCell ref="AL57:AM57"/>
    <mergeCell ref="A58:B58"/>
    <mergeCell ref="C58:G58"/>
    <mergeCell ref="H58:X58"/>
    <mergeCell ref="Y58:Z58"/>
    <mergeCell ref="AA58:AC58"/>
    <mergeCell ref="AD58:AE58"/>
    <mergeCell ref="AF58:AK58"/>
    <mergeCell ref="AL58:AM58"/>
    <mergeCell ref="A59:B59"/>
    <mergeCell ref="C59:G59"/>
    <mergeCell ref="H59:X59"/>
    <mergeCell ref="Y59:Z59"/>
    <mergeCell ref="AA59:AC59"/>
    <mergeCell ref="AD59:AE59"/>
    <mergeCell ref="AF59:AK59"/>
    <mergeCell ref="AL59:AM59"/>
    <mergeCell ref="A60:B60"/>
    <mergeCell ref="C60:G60"/>
    <mergeCell ref="H60:X60"/>
    <mergeCell ref="Y60:Z60"/>
    <mergeCell ref="AA60:AC60"/>
    <mergeCell ref="AD60:AE60"/>
    <mergeCell ref="AF60:AK60"/>
    <mergeCell ref="AL60:AM60"/>
    <mergeCell ref="A61:B61"/>
    <mergeCell ref="C61:G61"/>
    <mergeCell ref="H61:X61"/>
    <mergeCell ref="Y61:Z61"/>
    <mergeCell ref="AA61:AC61"/>
    <mergeCell ref="AD61:AE61"/>
    <mergeCell ref="AF61:AK61"/>
    <mergeCell ref="AL61:AM61"/>
    <mergeCell ref="A62:B62"/>
    <mergeCell ref="C62:G62"/>
    <mergeCell ref="H62:X62"/>
    <mergeCell ref="Y62:Z62"/>
    <mergeCell ref="AA62:AC62"/>
    <mergeCell ref="AD62:AE62"/>
    <mergeCell ref="AF62:AK62"/>
    <mergeCell ref="AL62:AM62"/>
    <mergeCell ref="A63:B63"/>
    <mergeCell ref="C63:G63"/>
    <mergeCell ref="H63:X63"/>
    <mergeCell ref="Y63:Z63"/>
    <mergeCell ref="AA63:AC63"/>
    <mergeCell ref="AD63:AE63"/>
    <mergeCell ref="AF63:AK63"/>
    <mergeCell ref="AL63:AM63"/>
    <mergeCell ref="A64:B64"/>
    <mergeCell ref="C64:G64"/>
    <mergeCell ref="H64:X64"/>
    <mergeCell ref="Y64:Z64"/>
    <mergeCell ref="AA64:AC64"/>
    <mergeCell ref="AD64:AE64"/>
    <mergeCell ref="AF64:AK64"/>
    <mergeCell ref="AL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3"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1306</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1167</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1168</v>
      </c>
      <c r="AL2" s="464"/>
      <c r="AM2" s="464"/>
    </row>
    <row r="3" customFormat="false" ht="11.1" hidden="false" customHeight="true" outlineLevel="0" collapsed="false">
      <c r="A3" s="346" t="s">
        <v>1109</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1110</v>
      </c>
      <c r="AB3" s="348"/>
      <c r="AC3" s="348"/>
      <c r="AD3" s="348"/>
      <c r="AE3" s="348"/>
      <c r="AF3" s="348"/>
      <c r="AG3" s="348"/>
      <c r="AH3" s="348"/>
      <c r="AI3" s="348"/>
      <c r="AJ3" s="348"/>
      <c r="AK3" s="348"/>
      <c r="AL3" s="348"/>
      <c r="AM3" s="348"/>
    </row>
    <row r="4" customFormat="false" ht="11.1" hidden="false" customHeight="true" outlineLevel="0" collapsed="false">
      <c r="A4" s="349" t="s">
        <v>1240</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1112</v>
      </c>
      <c r="AB4" s="353"/>
      <c r="AC4" s="353"/>
      <c r="AD4" s="353"/>
      <c r="AE4" s="353"/>
      <c r="AF4" s="353"/>
      <c r="AG4" s="353"/>
      <c r="AH4" s="353"/>
      <c r="AI4" s="436"/>
      <c r="AJ4" s="436"/>
      <c r="AK4" s="586"/>
      <c r="AL4" s="586"/>
      <c r="AM4" s="355" t="s">
        <v>255</v>
      </c>
    </row>
    <row r="5" customFormat="false" ht="11.1" hidden="false" customHeight="true" outlineLevel="0" collapsed="false">
      <c r="A5" s="552" t="s">
        <v>1241</v>
      </c>
      <c r="B5" s="552"/>
      <c r="C5" s="552"/>
      <c r="D5" s="552"/>
      <c r="E5" s="552"/>
      <c r="F5" s="552"/>
      <c r="G5" s="552"/>
      <c r="H5" s="552"/>
      <c r="I5" s="552"/>
      <c r="J5" s="552"/>
      <c r="K5" s="552"/>
      <c r="L5" s="552"/>
      <c r="M5" s="552"/>
      <c r="N5" s="350" t="s">
        <v>1111</v>
      </c>
      <c r="O5" s="350"/>
      <c r="P5" s="350"/>
      <c r="Q5" s="350"/>
      <c r="R5" s="350"/>
      <c r="S5" s="553" t="s">
        <v>341</v>
      </c>
      <c r="T5" s="553"/>
      <c r="U5" s="554" t="s">
        <v>979</v>
      </c>
      <c r="V5" s="554"/>
      <c r="W5" s="554"/>
      <c r="X5" s="554"/>
      <c r="Y5" s="554"/>
      <c r="Z5" s="359"/>
      <c r="AA5" s="353" t="s">
        <v>1113</v>
      </c>
      <c r="AB5" s="353"/>
      <c r="AC5" s="353"/>
      <c r="AD5" s="353"/>
      <c r="AE5" s="353"/>
      <c r="AF5" s="353"/>
      <c r="AG5" s="353"/>
      <c r="AH5" s="353"/>
      <c r="AI5" s="358"/>
      <c r="AJ5" s="358"/>
      <c r="AK5" s="358"/>
      <c r="AL5" s="358"/>
      <c r="AM5" s="355" t="s">
        <v>253</v>
      </c>
    </row>
    <row r="6" customFormat="false" ht="11.1" hidden="false" customHeight="true" outlineLevel="0" collapsed="false">
      <c r="A6" s="552" t="s">
        <v>1242</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1115</v>
      </c>
      <c r="AB6" s="353"/>
      <c r="AC6" s="353"/>
      <c r="AD6" s="353"/>
      <c r="AE6" s="353"/>
      <c r="AF6" s="353"/>
      <c r="AG6" s="353"/>
      <c r="AH6" s="353"/>
      <c r="AI6" s="358"/>
      <c r="AJ6" s="358"/>
      <c r="AK6" s="358"/>
      <c r="AL6" s="358"/>
      <c r="AM6" s="355" t="s">
        <v>259</v>
      </c>
    </row>
    <row r="7" customFormat="false" ht="11.1" hidden="false" customHeight="true" outlineLevel="0" collapsed="false">
      <c r="A7" s="555" t="s">
        <v>1307</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1244</v>
      </c>
      <c r="AB7" s="353"/>
      <c r="AC7" s="353"/>
      <c r="AD7" s="353"/>
      <c r="AE7" s="353"/>
      <c r="AF7" s="353"/>
      <c r="AG7" s="353"/>
      <c r="AH7" s="353"/>
      <c r="AI7" s="358"/>
      <c r="AJ7" s="358"/>
      <c r="AK7" s="556"/>
      <c r="AL7" s="556"/>
      <c r="AM7" s="355" t="s">
        <v>262</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353" t="s">
        <v>1248</v>
      </c>
      <c r="AB8" s="353"/>
      <c r="AC8" s="353"/>
      <c r="AD8" s="353"/>
      <c r="AE8" s="353"/>
      <c r="AF8" s="353"/>
      <c r="AG8" s="353"/>
      <c r="AH8" s="353"/>
      <c r="AI8" s="358"/>
      <c r="AJ8" s="358"/>
      <c r="AK8" s="556"/>
      <c r="AL8" s="556"/>
      <c r="AM8" s="355" t="s">
        <v>270</v>
      </c>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1245</v>
      </c>
      <c r="AB9" s="353"/>
      <c r="AC9" s="353"/>
      <c r="AD9" s="353"/>
      <c r="AE9" s="353"/>
      <c r="AF9" s="353"/>
      <c r="AG9" s="353"/>
      <c r="AH9" s="353"/>
      <c r="AI9" s="358"/>
      <c r="AJ9" s="358"/>
      <c r="AK9" s="358"/>
      <c r="AL9" s="358"/>
      <c r="AM9" s="355"/>
    </row>
    <row r="10" customFormat="false" ht="11.1" hidden="false" customHeight="true" outlineLevel="0" collapsed="false">
      <c r="A10" s="557"/>
      <c r="B10" s="557"/>
      <c r="C10" s="557"/>
      <c r="D10" s="557"/>
      <c r="E10" s="557"/>
      <c r="F10" s="557"/>
      <c r="G10" s="557"/>
      <c r="H10" s="557"/>
      <c r="I10" s="557"/>
      <c r="J10" s="557"/>
      <c r="K10" s="557"/>
      <c r="L10" s="557"/>
      <c r="M10" s="557"/>
      <c r="N10" s="350" t="s">
        <v>1117</v>
      </c>
      <c r="O10" s="350"/>
      <c r="P10" s="350"/>
      <c r="Q10" s="350"/>
      <c r="R10" s="350"/>
      <c r="S10" s="553"/>
      <c r="T10" s="553"/>
      <c r="U10" s="554"/>
      <c r="V10" s="554"/>
      <c r="W10" s="554"/>
      <c r="X10" s="554"/>
      <c r="Y10" s="554"/>
      <c r="Z10" s="359"/>
      <c r="AA10" s="353" t="s">
        <v>1308</v>
      </c>
      <c r="AB10" s="353"/>
      <c r="AC10" s="353"/>
      <c r="AD10" s="353"/>
      <c r="AE10" s="353"/>
      <c r="AF10" s="353"/>
      <c r="AG10" s="353"/>
      <c r="AH10" s="353"/>
      <c r="AI10" s="532"/>
      <c r="AJ10" s="556"/>
      <c r="AK10" s="556"/>
      <c r="AL10" s="556"/>
      <c r="AM10" s="355" t="s">
        <v>255</v>
      </c>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353" t="s">
        <v>1309</v>
      </c>
      <c r="AB11" s="353"/>
      <c r="AC11" s="353"/>
      <c r="AD11" s="353"/>
      <c r="AE11" s="353"/>
      <c r="AF11" s="353"/>
      <c r="AG11" s="353"/>
      <c r="AH11" s="353"/>
      <c r="AI11" s="532"/>
      <c r="AJ11" s="556"/>
      <c r="AK11" s="556"/>
      <c r="AL11" s="556"/>
      <c r="AM11" s="355" t="s">
        <v>270</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1310</v>
      </c>
      <c r="AB12" s="353"/>
      <c r="AC12" s="353"/>
      <c r="AD12" s="353"/>
      <c r="AE12" s="353"/>
      <c r="AF12" s="353"/>
      <c r="AG12" s="353"/>
      <c r="AH12" s="353"/>
      <c r="AI12" s="358"/>
      <c r="AJ12" s="358"/>
      <c r="AK12" s="358"/>
      <c r="AL12" s="358"/>
      <c r="AM12" s="355"/>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1311</v>
      </c>
      <c r="AB13" s="353"/>
      <c r="AC13" s="353"/>
      <c r="AD13" s="353"/>
      <c r="AE13" s="353"/>
      <c r="AF13" s="353"/>
      <c r="AG13" s="353"/>
      <c r="AH13" s="353"/>
      <c r="AI13" s="532"/>
      <c r="AJ13" s="556"/>
      <c r="AK13" s="556"/>
      <c r="AL13" s="556"/>
      <c r="AM13" s="355" t="s">
        <v>253</v>
      </c>
    </row>
    <row r="14" customFormat="false" ht="11.1" hidden="false" customHeight="true" outlineLevel="0" collapsed="false">
      <c r="A14" s="587"/>
      <c r="B14" s="587"/>
      <c r="C14" s="587"/>
      <c r="D14" s="587"/>
      <c r="E14" s="587"/>
      <c r="F14" s="587"/>
      <c r="G14" s="587"/>
      <c r="H14" s="587"/>
      <c r="I14" s="587"/>
      <c r="J14" s="587"/>
      <c r="K14" s="587"/>
      <c r="L14" s="587"/>
      <c r="M14" s="587"/>
      <c r="N14" s="551"/>
      <c r="O14" s="551"/>
      <c r="P14" s="551"/>
      <c r="Q14" s="551"/>
      <c r="R14" s="551"/>
      <c r="S14" s="551"/>
      <c r="T14" s="551"/>
      <c r="U14" s="551"/>
      <c r="V14" s="551"/>
      <c r="W14" s="551"/>
      <c r="X14" s="551"/>
      <c r="Y14" s="551"/>
      <c r="Z14" s="551"/>
      <c r="AA14" s="353" t="s">
        <v>1247</v>
      </c>
      <c r="AB14" s="353"/>
      <c r="AC14" s="353"/>
      <c r="AD14" s="353"/>
      <c r="AE14" s="353"/>
      <c r="AF14" s="353"/>
      <c r="AG14" s="353"/>
      <c r="AH14" s="353"/>
      <c r="AI14" s="358"/>
      <c r="AJ14" s="358"/>
      <c r="AK14" s="358"/>
      <c r="AL14" s="358"/>
      <c r="AM14" s="355" t="s">
        <v>255</v>
      </c>
    </row>
    <row r="15" customFormat="false" ht="11.1" hidden="false" customHeight="true" outlineLevel="0" collapsed="false">
      <c r="A15" s="588" t="s">
        <v>1312</v>
      </c>
      <c r="B15" s="588"/>
      <c r="C15" s="588"/>
      <c r="D15" s="588"/>
      <c r="E15" s="588"/>
      <c r="F15" s="588"/>
      <c r="G15" s="588"/>
      <c r="H15" s="588"/>
      <c r="I15" s="588"/>
      <c r="J15" s="588"/>
      <c r="K15" s="588"/>
      <c r="L15" s="588"/>
      <c r="M15" s="588"/>
      <c r="N15" s="562"/>
      <c r="O15" s="562"/>
      <c r="P15" s="562"/>
      <c r="Q15" s="562"/>
      <c r="R15" s="562"/>
      <c r="S15" s="562"/>
      <c r="T15" s="562"/>
      <c r="U15" s="562"/>
      <c r="V15" s="562"/>
      <c r="W15" s="562"/>
      <c r="X15" s="562"/>
      <c r="Y15" s="562"/>
      <c r="Z15" s="562"/>
      <c r="AA15" s="353" t="s">
        <v>1249</v>
      </c>
      <c r="AB15" s="353"/>
      <c r="AC15" s="353"/>
      <c r="AD15" s="353"/>
      <c r="AE15" s="353"/>
      <c r="AF15" s="353"/>
      <c r="AG15" s="353"/>
      <c r="AH15" s="353"/>
      <c r="AI15" s="563"/>
      <c r="AJ15" s="564"/>
      <c r="AK15" s="564"/>
      <c r="AL15" s="564"/>
      <c r="AM15" s="355" t="s">
        <v>255</v>
      </c>
    </row>
    <row r="16" customFormat="false" ht="11.1" hidden="false" customHeight="true" outlineLevel="0" collapsed="false">
      <c r="A16" s="565" t="s">
        <v>590</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1250</v>
      </c>
      <c r="B17" s="566"/>
      <c r="C17" s="566"/>
      <c r="D17" s="566"/>
      <c r="E17" s="566"/>
      <c r="F17" s="566"/>
      <c r="G17" s="566"/>
      <c r="H17" s="566"/>
      <c r="I17" s="566"/>
      <c r="J17" s="566"/>
      <c r="K17" s="566"/>
      <c r="L17" s="566"/>
      <c r="M17" s="566"/>
      <c r="N17" s="559" t="s">
        <v>1251</v>
      </c>
      <c r="O17" s="559"/>
      <c r="P17" s="559"/>
      <c r="Q17" s="559"/>
      <c r="R17" s="559"/>
      <c r="S17" s="559"/>
      <c r="T17" s="559"/>
      <c r="U17" s="559"/>
      <c r="V17" s="559"/>
      <c r="W17" s="559"/>
      <c r="X17" s="559"/>
      <c r="Y17" s="559"/>
      <c r="Z17" s="559"/>
      <c r="AA17" s="567" t="s">
        <v>1252</v>
      </c>
      <c r="AB17" s="567"/>
      <c r="AC17" s="567"/>
      <c r="AD17" s="567"/>
      <c r="AE17" s="567"/>
      <c r="AF17" s="567"/>
      <c r="AG17" s="567"/>
      <c r="AH17" s="567"/>
      <c r="AI17" s="567"/>
      <c r="AJ17" s="567"/>
      <c r="AK17" s="567"/>
      <c r="AL17" s="567"/>
      <c r="AM17" s="567"/>
    </row>
    <row r="18" customFormat="false" ht="11.1" hidden="false" customHeight="true" outlineLevel="0" collapsed="false">
      <c r="A18" s="568" t="s">
        <v>1125</v>
      </c>
      <c r="B18" s="568"/>
      <c r="C18" s="568"/>
      <c r="D18" s="568"/>
      <c r="E18" s="568"/>
      <c r="F18" s="568"/>
      <c r="G18" s="568"/>
      <c r="H18" s="569" t="s">
        <v>1253</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1254</v>
      </c>
      <c r="D19" s="406"/>
      <c r="E19" s="406"/>
      <c r="F19" s="406"/>
      <c r="G19" s="406"/>
      <c r="H19" s="589"/>
      <c r="I19" s="589"/>
      <c r="J19" s="589"/>
      <c r="K19" s="589"/>
      <c r="L19" s="589"/>
      <c r="M19" s="589"/>
      <c r="N19" s="589"/>
      <c r="O19" s="589"/>
      <c r="P19" s="589"/>
      <c r="Q19" s="589"/>
      <c r="R19" s="589"/>
      <c r="S19" s="589"/>
      <c r="T19" s="589"/>
      <c r="U19" s="589"/>
      <c r="V19" s="589"/>
      <c r="W19" s="589"/>
      <c r="X19" s="589"/>
      <c r="Y19" s="589"/>
      <c r="Z19" s="589"/>
      <c r="AA19" s="589"/>
      <c r="AB19" s="589"/>
      <c r="AC19" s="589" t="s">
        <v>230</v>
      </c>
      <c r="AD19" s="589"/>
      <c r="AE19" s="589"/>
      <c r="AF19" s="589" t="s">
        <v>341</v>
      </c>
      <c r="AG19" s="589"/>
      <c r="AH19" s="589" t="s">
        <v>979</v>
      </c>
      <c r="AI19" s="589"/>
      <c r="AJ19" s="589"/>
      <c r="AK19" s="589"/>
      <c r="AL19" s="589"/>
      <c r="AM19" s="590"/>
    </row>
    <row r="20" customFormat="false" ht="11.1" hidden="false" customHeight="true" outlineLevel="0" collapsed="false">
      <c r="A20" s="379" t="n">
        <v>2</v>
      </c>
      <c r="B20" s="379"/>
      <c r="C20" s="406" t="s">
        <v>1255</v>
      </c>
      <c r="D20" s="406"/>
      <c r="E20" s="406"/>
      <c r="F20" s="406"/>
      <c r="G20" s="406"/>
      <c r="H20" s="571" t="s">
        <v>1313</v>
      </c>
      <c r="I20" s="571"/>
      <c r="J20" s="571"/>
      <c r="K20" s="571"/>
      <c r="L20" s="571"/>
      <c r="M20" s="571"/>
      <c r="N20" s="571"/>
      <c r="O20" s="571"/>
      <c r="P20" s="571"/>
      <c r="Q20" s="571"/>
      <c r="R20" s="571"/>
      <c r="S20" s="571"/>
      <c r="T20" s="571"/>
      <c r="U20" s="571"/>
      <c r="V20" s="571"/>
      <c r="W20" s="571"/>
      <c r="X20" s="571"/>
      <c r="Y20" s="571"/>
      <c r="Z20" s="571"/>
      <c r="AA20" s="571"/>
      <c r="AB20" s="571"/>
      <c r="AC20" s="375" t="s">
        <v>1314</v>
      </c>
      <c r="AD20" s="375"/>
      <c r="AE20" s="375"/>
      <c r="AF20" s="375" t="s">
        <v>1314</v>
      </c>
      <c r="AG20" s="375"/>
      <c r="AH20" s="572" t="s">
        <v>1314</v>
      </c>
      <c r="AI20" s="572"/>
      <c r="AJ20" s="572"/>
      <c r="AK20" s="572"/>
      <c r="AL20" s="572"/>
      <c r="AM20" s="572"/>
    </row>
    <row r="21" customFormat="false" ht="11.1" hidden="false" customHeight="true" outlineLevel="0" collapsed="false">
      <c r="A21" s="379" t="n">
        <v>3</v>
      </c>
      <c r="B21" s="379"/>
      <c r="C21" s="406" t="s">
        <v>1256</v>
      </c>
      <c r="D21" s="406"/>
      <c r="E21" s="406"/>
      <c r="F21" s="406"/>
      <c r="G21" s="406"/>
      <c r="H21" s="571" t="s">
        <v>1315</v>
      </c>
      <c r="I21" s="571"/>
      <c r="J21" s="571"/>
      <c r="K21" s="571"/>
      <c r="L21" s="571"/>
      <c r="M21" s="571"/>
      <c r="N21" s="571"/>
      <c r="O21" s="571"/>
      <c r="P21" s="571"/>
      <c r="Q21" s="571"/>
      <c r="R21" s="571"/>
      <c r="S21" s="571"/>
      <c r="T21" s="571"/>
      <c r="U21" s="571"/>
      <c r="V21" s="571"/>
      <c r="W21" s="571"/>
      <c r="X21" s="571"/>
      <c r="Y21" s="571"/>
      <c r="Z21" s="571"/>
      <c r="AA21" s="571"/>
      <c r="AB21" s="571"/>
      <c r="AC21" s="375" t="s">
        <v>1316</v>
      </c>
      <c r="AD21" s="375"/>
      <c r="AE21" s="375"/>
      <c r="AF21" s="375"/>
      <c r="AG21" s="375"/>
      <c r="AH21" s="572"/>
      <c r="AI21" s="572"/>
      <c r="AJ21" s="572"/>
      <c r="AK21" s="572"/>
      <c r="AL21" s="572"/>
      <c r="AM21" s="572"/>
    </row>
    <row r="22" customFormat="false" ht="11.1" hidden="false" customHeight="true" outlineLevel="0" collapsed="false">
      <c r="A22" s="379" t="n">
        <v>4</v>
      </c>
      <c r="B22" s="379"/>
      <c r="C22" s="406" t="s">
        <v>1257</v>
      </c>
      <c r="D22" s="406"/>
      <c r="E22" s="406"/>
      <c r="F22" s="406"/>
      <c r="G22" s="406"/>
      <c r="H22" s="571" t="s">
        <v>1317</v>
      </c>
      <c r="I22" s="571"/>
      <c r="J22" s="571"/>
      <c r="K22" s="571"/>
      <c r="L22" s="571"/>
      <c r="M22" s="571"/>
      <c r="N22" s="571"/>
      <c r="O22" s="571"/>
      <c r="P22" s="571"/>
      <c r="Q22" s="571"/>
      <c r="R22" s="571"/>
      <c r="S22" s="571"/>
      <c r="T22" s="571"/>
      <c r="U22" s="571"/>
      <c r="V22" s="571"/>
      <c r="W22" s="571"/>
      <c r="X22" s="571"/>
      <c r="Y22" s="571"/>
      <c r="Z22" s="571"/>
      <c r="AA22" s="571"/>
      <c r="AB22" s="571"/>
      <c r="AC22" s="375" t="s">
        <v>1314</v>
      </c>
      <c r="AD22" s="375"/>
      <c r="AE22" s="375"/>
      <c r="AF22" s="375"/>
      <c r="AG22" s="375"/>
      <c r="AH22" s="572" t="s">
        <v>1314</v>
      </c>
      <c r="AI22" s="572"/>
      <c r="AJ22" s="572"/>
      <c r="AK22" s="572"/>
      <c r="AL22" s="572"/>
      <c r="AM22" s="572"/>
    </row>
    <row r="23" customFormat="false" ht="11.1" hidden="false" customHeight="true" outlineLevel="0" collapsed="false">
      <c r="A23" s="379" t="n">
        <v>5</v>
      </c>
      <c r="B23" s="379"/>
      <c r="C23" s="406" t="s">
        <v>1258</v>
      </c>
      <c r="D23" s="406"/>
      <c r="E23" s="406"/>
      <c r="F23" s="406"/>
      <c r="G23" s="406"/>
      <c r="H23" s="571" t="s">
        <v>1318</v>
      </c>
      <c r="I23" s="571"/>
      <c r="J23" s="571"/>
      <c r="K23" s="571"/>
      <c r="L23" s="571"/>
      <c r="M23" s="571"/>
      <c r="N23" s="571"/>
      <c r="O23" s="571"/>
      <c r="P23" s="571"/>
      <c r="Q23" s="571"/>
      <c r="R23" s="571"/>
      <c r="S23" s="571"/>
      <c r="T23" s="571"/>
      <c r="U23" s="571"/>
      <c r="V23" s="571"/>
      <c r="W23" s="571"/>
      <c r="X23" s="571"/>
      <c r="Y23" s="571"/>
      <c r="Z23" s="571"/>
      <c r="AA23" s="571"/>
      <c r="AB23" s="571"/>
      <c r="AC23" s="375" t="s">
        <v>1314</v>
      </c>
      <c r="AD23" s="375"/>
      <c r="AE23" s="375"/>
      <c r="AF23" s="375" t="s">
        <v>1314</v>
      </c>
      <c r="AG23" s="375"/>
      <c r="AH23" s="572" t="s">
        <v>1314</v>
      </c>
      <c r="AI23" s="572"/>
      <c r="AJ23" s="572"/>
      <c r="AK23" s="572"/>
      <c r="AL23" s="572"/>
      <c r="AM23" s="572"/>
    </row>
    <row r="24" customFormat="false" ht="11.1" hidden="false" customHeight="true" outlineLevel="0" collapsed="false">
      <c r="A24" s="379" t="n">
        <v>6</v>
      </c>
      <c r="B24" s="379"/>
      <c r="C24" s="406" t="s">
        <v>1259</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1260</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1261</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1262</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1263</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1264</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1265</v>
      </c>
      <c r="D30" s="406"/>
      <c r="E30" s="406"/>
      <c r="F30" s="406"/>
      <c r="G30" s="406"/>
      <c r="H30" s="571"/>
      <c r="I30" s="571"/>
      <c r="J30" s="571"/>
      <c r="K30" s="571"/>
      <c r="L30" s="571"/>
      <c r="M30" s="571"/>
      <c r="N30" s="571"/>
      <c r="O30" s="571"/>
      <c r="P30" s="571"/>
      <c r="Q30" s="571"/>
      <c r="R30" s="571"/>
      <c r="S30" s="571"/>
      <c r="T30" s="571"/>
      <c r="U30" s="571"/>
      <c r="V30" s="571"/>
      <c r="W30" s="571"/>
      <c r="X30" s="571"/>
      <c r="Y30" s="571"/>
      <c r="Z30" s="571"/>
      <c r="AA30" s="571"/>
      <c r="AB30" s="571"/>
      <c r="AC30" s="375"/>
      <c r="AD30" s="375"/>
      <c r="AE30" s="375"/>
      <c r="AF30" s="375"/>
      <c r="AG30" s="375"/>
      <c r="AH30" s="572"/>
      <c r="AI30" s="572"/>
      <c r="AJ30" s="572"/>
      <c r="AK30" s="572"/>
      <c r="AL30" s="572"/>
      <c r="AM30" s="572"/>
    </row>
    <row r="31" customFormat="false" ht="11.1" hidden="false" customHeight="true" outlineLevel="0" collapsed="false">
      <c r="A31" s="379" t="n">
        <v>13</v>
      </c>
      <c r="B31" s="379"/>
      <c r="C31" s="406" t="s">
        <v>1267</v>
      </c>
      <c r="D31" s="406"/>
      <c r="E31" s="406"/>
      <c r="F31" s="406"/>
      <c r="G31" s="406"/>
      <c r="H31" s="571"/>
      <c r="I31" s="571"/>
      <c r="J31" s="571"/>
      <c r="K31" s="571"/>
      <c r="L31" s="571"/>
      <c r="M31" s="571"/>
      <c r="N31" s="571"/>
      <c r="O31" s="571"/>
      <c r="P31" s="571"/>
      <c r="Q31" s="571"/>
      <c r="R31" s="571"/>
      <c r="S31" s="571"/>
      <c r="T31" s="571"/>
      <c r="U31" s="571"/>
      <c r="V31" s="571"/>
      <c r="W31" s="571"/>
      <c r="X31" s="571"/>
      <c r="Y31" s="571"/>
      <c r="Z31" s="571"/>
      <c r="AA31" s="571"/>
      <c r="AB31" s="571"/>
      <c r="AC31" s="375"/>
      <c r="AD31" s="375"/>
      <c r="AE31" s="375"/>
      <c r="AF31" s="375"/>
      <c r="AG31" s="375"/>
      <c r="AH31" s="572"/>
      <c r="AI31" s="572"/>
      <c r="AJ31" s="572"/>
      <c r="AK31" s="572"/>
      <c r="AL31" s="572"/>
      <c r="AM31" s="572"/>
    </row>
    <row r="32" customFormat="false" ht="11.1" hidden="false" customHeight="true" outlineLevel="0" collapsed="false">
      <c r="A32" s="379" t="n">
        <v>14</v>
      </c>
      <c r="B32" s="379"/>
      <c r="C32" s="406" t="s">
        <v>1268</v>
      </c>
      <c r="D32" s="406"/>
      <c r="E32" s="406"/>
      <c r="F32" s="406"/>
      <c r="G32" s="406"/>
      <c r="H32" s="571"/>
      <c r="I32" s="571"/>
      <c r="J32" s="571"/>
      <c r="K32" s="571"/>
      <c r="L32" s="571"/>
      <c r="M32" s="571"/>
      <c r="N32" s="571"/>
      <c r="O32" s="571"/>
      <c r="P32" s="571"/>
      <c r="Q32" s="571"/>
      <c r="R32" s="571"/>
      <c r="S32" s="571"/>
      <c r="T32" s="571"/>
      <c r="U32" s="571"/>
      <c r="V32" s="571"/>
      <c r="W32" s="571"/>
      <c r="X32" s="571"/>
      <c r="Y32" s="571"/>
      <c r="Z32" s="571"/>
      <c r="AA32" s="571"/>
      <c r="AB32" s="571"/>
      <c r="AC32" s="375"/>
      <c r="AD32" s="375"/>
      <c r="AE32" s="375"/>
      <c r="AF32" s="375"/>
      <c r="AG32" s="375"/>
      <c r="AH32" s="572"/>
      <c r="AI32" s="572"/>
      <c r="AJ32" s="572"/>
      <c r="AK32" s="572"/>
      <c r="AL32" s="572"/>
      <c r="AM32" s="572"/>
    </row>
    <row r="33" customFormat="false" ht="11.1" hidden="false" customHeight="true" outlineLevel="0" collapsed="false">
      <c r="A33" s="379" t="n">
        <v>15</v>
      </c>
      <c r="B33" s="379"/>
      <c r="C33" s="406" t="s">
        <v>1269</v>
      </c>
      <c r="D33" s="406"/>
      <c r="E33" s="406"/>
      <c r="F33" s="406"/>
      <c r="G33" s="406"/>
      <c r="H33" s="571"/>
      <c r="I33" s="571"/>
      <c r="J33" s="571"/>
      <c r="K33" s="571"/>
      <c r="L33" s="571"/>
      <c r="M33" s="571"/>
      <c r="N33" s="571"/>
      <c r="O33" s="571"/>
      <c r="P33" s="571"/>
      <c r="Q33" s="571"/>
      <c r="R33" s="571"/>
      <c r="S33" s="571"/>
      <c r="T33" s="571"/>
      <c r="U33" s="571"/>
      <c r="V33" s="571"/>
      <c r="W33" s="571"/>
      <c r="X33" s="571"/>
      <c r="Y33" s="571"/>
      <c r="Z33" s="571"/>
      <c r="AA33" s="571"/>
      <c r="AB33" s="571"/>
      <c r="AC33" s="375"/>
      <c r="AD33" s="375"/>
      <c r="AE33" s="375"/>
      <c r="AF33" s="375"/>
      <c r="AG33" s="375"/>
      <c r="AH33" s="572"/>
      <c r="AI33" s="572"/>
      <c r="AJ33" s="572"/>
      <c r="AK33" s="572"/>
      <c r="AL33" s="572"/>
      <c r="AM33" s="572"/>
    </row>
    <row r="34" customFormat="false" ht="11.1" hidden="false" customHeight="true" outlineLevel="0" collapsed="false">
      <c r="A34" s="379" t="n">
        <v>16</v>
      </c>
      <c r="B34" s="379"/>
      <c r="C34" s="406" t="s">
        <v>1270</v>
      </c>
      <c r="D34" s="406"/>
      <c r="E34" s="406"/>
      <c r="F34" s="406"/>
      <c r="G34" s="406"/>
      <c r="H34" s="571"/>
      <c r="I34" s="571"/>
      <c r="J34" s="571"/>
      <c r="K34" s="571"/>
      <c r="L34" s="571"/>
      <c r="M34" s="571"/>
      <c r="N34" s="571"/>
      <c r="O34" s="571"/>
      <c r="P34" s="571"/>
      <c r="Q34" s="571"/>
      <c r="R34" s="571"/>
      <c r="S34" s="571"/>
      <c r="T34" s="571"/>
      <c r="U34" s="571"/>
      <c r="V34" s="571"/>
      <c r="W34" s="571"/>
      <c r="X34" s="571"/>
      <c r="Y34" s="571"/>
      <c r="Z34" s="571"/>
      <c r="AA34" s="571"/>
      <c r="AB34" s="571"/>
      <c r="AC34" s="375"/>
      <c r="AD34" s="375"/>
      <c r="AE34" s="375"/>
      <c r="AF34" s="375"/>
      <c r="AG34" s="375"/>
      <c r="AH34" s="572"/>
      <c r="AI34" s="572"/>
      <c r="AJ34" s="572"/>
      <c r="AK34" s="572"/>
      <c r="AL34" s="572"/>
      <c r="AM34" s="572"/>
    </row>
    <row r="35" customFormat="false" ht="11.1" hidden="false" customHeight="true" outlineLevel="0" collapsed="false">
      <c r="A35" s="379" t="n">
        <v>17</v>
      </c>
      <c r="B35" s="379"/>
      <c r="C35" s="406" t="s">
        <v>1271</v>
      </c>
      <c r="D35" s="406"/>
      <c r="E35" s="406"/>
      <c r="F35" s="406"/>
      <c r="G35" s="406"/>
      <c r="H35" s="571"/>
      <c r="I35" s="571"/>
      <c r="J35" s="571"/>
      <c r="K35" s="571"/>
      <c r="L35" s="571"/>
      <c r="M35" s="571"/>
      <c r="N35" s="571"/>
      <c r="O35" s="571"/>
      <c r="P35" s="571"/>
      <c r="Q35" s="571"/>
      <c r="R35" s="571"/>
      <c r="S35" s="571"/>
      <c r="T35" s="571"/>
      <c r="U35" s="571"/>
      <c r="V35" s="571"/>
      <c r="W35" s="571"/>
      <c r="X35" s="571"/>
      <c r="Y35" s="571"/>
      <c r="Z35" s="571"/>
      <c r="AA35" s="571"/>
      <c r="AB35" s="571"/>
      <c r="AC35" s="375"/>
      <c r="AD35" s="375"/>
      <c r="AE35" s="375"/>
      <c r="AF35" s="375"/>
      <c r="AG35" s="375"/>
      <c r="AH35" s="572"/>
      <c r="AI35" s="572"/>
      <c r="AJ35" s="572"/>
      <c r="AK35" s="572"/>
      <c r="AL35" s="572"/>
      <c r="AM35" s="572"/>
    </row>
    <row r="36" customFormat="false" ht="11.1" hidden="false" customHeight="true" outlineLevel="0" collapsed="false">
      <c r="A36" s="379" t="n">
        <v>18</v>
      </c>
      <c r="B36" s="379"/>
      <c r="C36" s="406" t="s">
        <v>1272</v>
      </c>
      <c r="D36" s="406"/>
      <c r="E36" s="406"/>
      <c r="F36" s="406"/>
      <c r="G36" s="406"/>
      <c r="H36" s="571"/>
      <c r="I36" s="571"/>
      <c r="J36" s="571"/>
      <c r="K36" s="571"/>
      <c r="L36" s="571"/>
      <c r="M36" s="571"/>
      <c r="N36" s="571"/>
      <c r="O36" s="571"/>
      <c r="P36" s="571"/>
      <c r="Q36" s="571"/>
      <c r="R36" s="571"/>
      <c r="S36" s="571"/>
      <c r="T36" s="571"/>
      <c r="U36" s="571"/>
      <c r="V36" s="571"/>
      <c r="W36" s="571"/>
      <c r="X36" s="571"/>
      <c r="Y36" s="571"/>
      <c r="Z36" s="571"/>
      <c r="AA36" s="571"/>
      <c r="AB36" s="571"/>
      <c r="AC36" s="375"/>
      <c r="AD36" s="375"/>
      <c r="AE36" s="375"/>
      <c r="AF36" s="375"/>
      <c r="AG36" s="375"/>
      <c r="AH36" s="572"/>
      <c r="AI36" s="572"/>
      <c r="AJ36" s="572"/>
      <c r="AK36" s="572"/>
      <c r="AL36" s="572"/>
      <c r="AM36" s="572"/>
    </row>
    <row r="37" customFormat="false" ht="11.1" hidden="false" customHeight="true" outlineLevel="0" collapsed="false">
      <c r="A37" s="379" t="n">
        <v>19</v>
      </c>
      <c r="B37" s="379"/>
      <c r="C37" s="406" t="s">
        <v>1273</v>
      </c>
      <c r="D37" s="406"/>
      <c r="E37" s="406"/>
      <c r="F37" s="406"/>
      <c r="G37" s="406"/>
      <c r="H37" s="571"/>
      <c r="I37" s="571"/>
      <c r="J37" s="571"/>
      <c r="K37" s="571"/>
      <c r="L37" s="571"/>
      <c r="M37" s="571"/>
      <c r="N37" s="571"/>
      <c r="O37" s="571"/>
      <c r="P37" s="571"/>
      <c r="Q37" s="571"/>
      <c r="R37" s="571"/>
      <c r="S37" s="571"/>
      <c r="T37" s="571"/>
      <c r="U37" s="571"/>
      <c r="V37" s="571"/>
      <c r="W37" s="571"/>
      <c r="X37" s="571"/>
      <c r="Y37" s="571"/>
      <c r="Z37" s="571"/>
      <c r="AA37" s="571"/>
      <c r="AB37" s="571"/>
      <c r="AC37" s="375"/>
      <c r="AD37" s="375"/>
      <c r="AE37" s="375"/>
      <c r="AF37" s="375"/>
      <c r="AG37" s="375"/>
      <c r="AH37" s="572"/>
      <c r="AI37" s="572"/>
      <c r="AJ37" s="572"/>
      <c r="AK37" s="572"/>
      <c r="AL37" s="572"/>
      <c r="AM37" s="572"/>
    </row>
    <row r="38" customFormat="false" ht="11.1" hidden="false" customHeight="true" outlineLevel="0" collapsed="false">
      <c r="A38" s="379" t="n">
        <v>20</v>
      </c>
      <c r="B38" s="379"/>
      <c r="C38" s="406" t="s">
        <v>1274</v>
      </c>
      <c r="D38" s="406"/>
      <c r="E38" s="406"/>
      <c r="F38" s="406"/>
      <c r="G38" s="406"/>
      <c r="H38" s="571"/>
      <c r="I38" s="571"/>
      <c r="J38" s="571"/>
      <c r="K38" s="571"/>
      <c r="L38" s="571"/>
      <c r="M38" s="571"/>
      <c r="N38" s="571"/>
      <c r="O38" s="571"/>
      <c r="P38" s="571"/>
      <c r="Q38" s="571"/>
      <c r="R38" s="571"/>
      <c r="S38" s="571"/>
      <c r="T38" s="571"/>
      <c r="U38" s="571"/>
      <c r="V38" s="571"/>
      <c r="W38" s="571"/>
      <c r="X38" s="571"/>
      <c r="Y38" s="571"/>
      <c r="Z38" s="571"/>
      <c r="AA38" s="571"/>
      <c r="AB38" s="571"/>
      <c r="AC38" s="375"/>
      <c r="AD38" s="375"/>
      <c r="AE38" s="375"/>
      <c r="AF38" s="375"/>
      <c r="AG38" s="375"/>
      <c r="AH38" s="572"/>
      <c r="AI38" s="572"/>
      <c r="AJ38" s="572"/>
      <c r="AK38" s="572"/>
      <c r="AL38" s="572"/>
      <c r="AM38" s="572"/>
    </row>
    <row r="39" customFormat="false" ht="11.1" hidden="false" customHeight="true" outlineLevel="0" collapsed="false">
      <c r="A39" s="379" t="n">
        <v>21</v>
      </c>
      <c r="B39" s="379"/>
      <c r="C39" s="406" t="s">
        <v>1275</v>
      </c>
      <c r="D39" s="406"/>
      <c r="E39" s="406"/>
      <c r="F39" s="406"/>
      <c r="G39" s="406"/>
      <c r="H39" s="571"/>
      <c r="I39" s="571"/>
      <c r="J39" s="571"/>
      <c r="K39" s="571"/>
      <c r="L39" s="571"/>
      <c r="M39" s="571"/>
      <c r="N39" s="571"/>
      <c r="O39" s="571"/>
      <c r="P39" s="571"/>
      <c r="Q39" s="571"/>
      <c r="R39" s="571"/>
      <c r="S39" s="571"/>
      <c r="T39" s="571"/>
      <c r="U39" s="571"/>
      <c r="V39" s="571"/>
      <c r="W39" s="571"/>
      <c r="X39" s="571"/>
      <c r="Y39" s="571"/>
      <c r="Z39" s="571"/>
      <c r="AA39" s="571"/>
      <c r="AB39" s="571"/>
      <c r="AC39" s="375"/>
      <c r="AD39" s="375"/>
      <c r="AE39" s="375"/>
      <c r="AF39" s="375"/>
      <c r="AG39" s="375"/>
      <c r="AH39" s="572"/>
      <c r="AI39" s="572"/>
      <c r="AJ39" s="572"/>
      <c r="AK39" s="572"/>
      <c r="AL39" s="572"/>
      <c r="AM39" s="572"/>
    </row>
    <row r="40" customFormat="false" ht="11.1" hidden="false" customHeight="true" outlineLevel="0" collapsed="false">
      <c r="A40" s="379" t="n">
        <v>22</v>
      </c>
      <c r="B40" s="379"/>
      <c r="C40" s="406" t="s">
        <v>1276</v>
      </c>
      <c r="D40" s="406"/>
      <c r="E40" s="406"/>
      <c r="F40" s="406"/>
      <c r="G40" s="406"/>
      <c r="H40" s="571"/>
      <c r="I40" s="571"/>
      <c r="J40" s="571"/>
      <c r="K40" s="571"/>
      <c r="L40" s="571"/>
      <c r="M40" s="571"/>
      <c r="N40" s="571"/>
      <c r="O40" s="571"/>
      <c r="P40" s="571"/>
      <c r="Q40" s="571"/>
      <c r="R40" s="571"/>
      <c r="S40" s="571"/>
      <c r="T40" s="571"/>
      <c r="U40" s="571"/>
      <c r="V40" s="571"/>
      <c r="W40" s="571"/>
      <c r="X40" s="571"/>
      <c r="Y40" s="571"/>
      <c r="Z40" s="571"/>
      <c r="AA40" s="571"/>
      <c r="AB40" s="571"/>
      <c r="AC40" s="375"/>
      <c r="AD40" s="375"/>
      <c r="AE40" s="375"/>
      <c r="AF40" s="375"/>
      <c r="AG40" s="375"/>
      <c r="AH40" s="572"/>
      <c r="AI40" s="572"/>
      <c r="AJ40" s="572"/>
      <c r="AK40" s="572"/>
      <c r="AL40" s="572"/>
      <c r="AM40" s="572"/>
    </row>
    <row r="41" customFormat="false" ht="11.1" hidden="false" customHeight="true" outlineLevel="0" collapsed="false">
      <c r="A41" s="379" t="n">
        <v>23</v>
      </c>
      <c r="B41" s="379"/>
      <c r="C41" s="406" t="s">
        <v>1277</v>
      </c>
      <c r="D41" s="406"/>
      <c r="E41" s="406"/>
      <c r="F41" s="406"/>
      <c r="G41" s="406"/>
      <c r="H41" s="571"/>
      <c r="I41" s="571"/>
      <c r="J41" s="571"/>
      <c r="K41" s="571"/>
      <c r="L41" s="571"/>
      <c r="M41" s="571"/>
      <c r="N41" s="571"/>
      <c r="O41" s="571"/>
      <c r="P41" s="571"/>
      <c r="Q41" s="571"/>
      <c r="R41" s="571"/>
      <c r="S41" s="571"/>
      <c r="T41" s="571"/>
      <c r="U41" s="571"/>
      <c r="V41" s="571"/>
      <c r="W41" s="571"/>
      <c r="X41" s="571"/>
      <c r="Y41" s="571"/>
      <c r="Z41" s="571"/>
      <c r="AA41" s="571"/>
      <c r="AB41" s="571"/>
      <c r="AC41" s="375"/>
      <c r="AD41" s="375"/>
      <c r="AE41" s="375"/>
      <c r="AF41" s="375"/>
      <c r="AG41" s="375"/>
      <c r="AH41" s="572"/>
      <c r="AI41" s="572"/>
      <c r="AJ41" s="572"/>
      <c r="AK41" s="572"/>
      <c r="AL41" s="572"/>
      <c r="AM41" s="572"/>
    </row>
    <row r="42" customFormat="false" ht="11.1" hidden="false" customHeight="true" outlineLevel="0" collapsed="false">
      <c r="A42" s="379" t="n">
        <v>24</v>
      </c>
      <c r="B42" s="379"/>
      <c r="C42" s="406" t="s">
        <v>1278</v>
      </c>
      <c r="D42" s="406"/>
      <c r="E42" s="406"/>
      <c r="F42" s="406"/>
      <c r="G42" s="406"/>
      <c r="H42" s="571"/>
      <c r="I42" s="571"/>
      <c r="J42" s="571"/>
      <c r="K42" s="571"/>
      <c r="L42" s="571"/>
      <c r="M42" s="571"/>
      <c r="N42" s="571"/>
      <c r="O42" s="571"/>
      <c r="P42" s="571"/>
      <c r="Q42" s="571"/>
      <c r="R42" s="571"/>
      <c r="S42" s="571"/>
      <c r="T42" s="571"/>
      <c r="U42" s="571"/>
      <c r="V42" s="571"/>
      <c r="W42" s="571"/>
      <c r="X42" s="571"/>
      <c r="Y42" s="571"/>
      <c r="Z42" s="571"/>
      <c r="AA42" s="571"/>
      <c r="AB42" s="571"/>
      <c r="AC42" s="375"/>
      <c r="AD42" s="375"/>
      <c r="AE42" s="375"/>
      <c r="AF42" s="375"/>
      <c r="AG42" s="375"/>
      <c r="AH42" s="572"/>
      <c r="AI42" s="572"/>
      <c r="AJ42" s="572"/>
      <c r="AK42" s="572"/>
      <c r="AL42" s="572"/>
      <c r="AM42" s="572"/>
    </row>
    <row r="43" customFormat="false" ht="11.1" hidden="false" customHeight="true" outlineLevel="0" collapsed="false">
      <c r="A43" s="379" t="n">
        <v>25</v>
      </c>
      <c r="B43" s="379"/>
      <c r="C43" s="406" t="s">
        <v>1280</v>
      </c>
      <c r="D43" s="406"/>
      <c r="E43" s="406"/>
      <c r="F43" s="406"/>
      <c r="G43" s="406"/>
      <c r="H43" s="571"/>
      <c r="I43" s="571"/>
      <c r="J43" s="571"/>
      <c r="K43" s="571"/>
      <c r="L43" s="571"/>
      <c r="M43" s="571"/>
      <c r="N43" s="571"/>
      <c r="O43" s="571"/>
      <c r="P43" s="571"/>
      <c r="Q43" s="571"/>
      <c r="R43" s="571"/>
      <c r="S43" s="571"/>
      <c r="T43" s="571"/>
      <c r="U43" s="571"/>
      <c r="V43" s="571"/>
      <c r="W43" s="571"/>
      <c r="X43" s="571"/>
      <c r="Y43" s="571"/>
      <c r="Z43" s="571"/>
      <c r="AA43" s="571"/>
      <c r="AB43" s="571"/>
      <c r="AC43" s="375"/>
      <c r="AD43" s="375"/>
      <c r="AE43" s="375"/>
      <c r="AF43" s="375"/>
      <c r="AG43" s="375"/>
      <c r="AH43" s="572"/>
      <c r="AI43" s="572"/>
      <c r="AJ43" s="572"/>
      <c r="AK43" s="572"/>
      <c r="AL43" s="572"/>
      <c r="AM43" s="572"/>
    </row>
    <row r="44" customFormat="false" ht="11.1" hidden="false" customHeight="true" outlineLevel="0" collapsed="false">
      <c r="A44" s="379" t="n">
        <v>26</v>
      </c>
      <c r="B44" s="379"/>
      <c r="C44" s="406" t="s">
        <v>1281</v>
      </c>
      <c r="D44" s="406"/>
      <c r="E44" s="406"/>
      <c r="F44" s="406"/>
      <c r="G44" s="406"/>
      <c r="H44" s="571"/>
      <c r="I44" s="571"/>
      <c r="J44" s="571"/>
      <c r="K44" s="571"/>
      <c r="L44" s="571"/>
      <c r="M44" s="571"/>
      <c r="N44" s="571"/>
      <c r="O44" s="571"/>
      <c r="P44" s="571"/>
      <c r="Q44" s="571"/>
      <c r="R44" s="571"/>
      <c r="S44" s="571"/>
      <c r="T44" s="571"/>
      <c r="U44" s="571"/>
      <c r="V44" s="571"/>
      <c r="W44" s="571"/>
      <c r="X44" s="571"/>
      <c r="Y44" s="571"/>
      <c r="Z44" s="571"/>
      <c r="AA44" s="571"/>
      <c r="AB44" s="571"/>
      <c r="AC44" s="375"/>
      <c r="AD44" s="375"/>
      <c r="AE44" s="375"/>
      <c r="AF44" s="375"/>
      <c r="AG44" s="375"/>
      <c r="AH44" s="572"/>
      <c r="AI44" s="572"/>
      <c r="AJ44" s="572"/>
      <c r="AK44" s="572"/>
      <c r="AL44" s="572"/>
      <c r="AM44" s="572"/>
    </row>
    <row r="45" customFormat="false" ht="11.1" hidden="false" customHeight="true" outlineLevel="0" collapsed="false">
      <c r="A45" s="379" t="n">
        <v>27</v>
      </c>
      <c r="B45" s="379"/>
      <c r="C45" s="406" t="s">
        <v>1282</v>
      </c>
      <c r="D45" s="406"/>
      <c r="E45" s="406"/>
      <c r="F45" s="406"/>
      <c r="G45" s="406"/>
      <c r="H45" s="571"/>
      <c r="I45" s="571"/>
      <c r="J45" s="571"/>
      <c r="K45" s="571"/>
      <c r="L45" s="571"/>
      <c r="M45" s="571"/>
      <c r="N45" s="571"/>
      <c r="O45" s="571"/>
      <c r="P45" s="571"/>
      <c r="Q45" s="571"/>
      <c r="R45" s="571"/>
      <c r="S45" s="571"/>
      <c r="T45" s="571"/>
      <c r="U45" s="571"/>
      <c r="V45" s="571"/>
      <c r="W45" s="571"/>
      <c r="X45" s="571"/>
      <c r="Y45" s="571"/>
      <c r="Z45" s="571"/>
      <c r="AA45" s="571"/>
      <c r="AB45" s="571"/>
      <c r="AC45" s="375"/>
      <c r="AD45" s="375"/>
      <c r="AE45" s="375"/>
      <c r="AF45" s="375"/>
      <c r="AG45" s="375"/>
      <c r="AH45" s="572"/>
      <c r="AI45" s="572"/>
      <c r="AJ45" s="572"/>
      <c r="AK45" s="572"/>
      <c r="AL45" s="572"/>
      <c r="AM45" s="572"/>
    </row>
    <row r="46" customFormat="false" ht="11.1" hidden="false" customHeight="true" outlineLevel="0" collapsed="false">
      <c r="A46" s="379" t="n">
        <v>28</v>
      </c>
      <c r="B46" s="379"/>
      <c r="C46" s="406" t="s">
        <v>1283</v>
      </c>
      <c r="D46" s="406"/>
      <c r="E46" s="406"/>
      <c r="F46" s="406"/>
      <c r="G46" s="406"/>
      <c r="H46" s="571"/>
      <c r="I46" s="571"/>
      <c r="J46" s="571"/>
      <c r="K46" s="571"/>
      <c r="L46" s="571"/>
      <c r="M46" s="571"/>
      <c r="N46" s="571"/>
      <c r="O46" s="571"/>
      <c r="P46" s="571"/>
      <c r="Q46" s="571"/>
      <c r="R46" s="571"/>
      <c r="S46" s="571"/>
      <c r="T46" s="571"/>
      <c r="U46" s="571"/>
      <c r="V46" s="571"/>
      <c r="W46" s="571"/>
      <c r="X46" s="571"/>
      <c r="Y46" s="571"/>
      <c r="Z46" s="571"/>
      <c r="AA46" s="571"/>
      <c r="AB46" s="571"/>
      <c r="AC46" s="375"/>
      <c r="AD46" s="375"/>
      <c r="AE46" s="375"/>
      <c r="AF46" s="375"/>
      <c r="AG46" s="375"/>
      <c r="AH46" s="572"/>
      <c r="AI46" s="572"/>
      <c r="AJ46" s="572"/>
      <c r="AK46" s="572"/>
      <c r="AL46" s="572"/>
      <c r="AM46" s="572"/>
    </row>
    <row r="47" customFormat="false" ht="11.1" hidden="false" customHeight="true" outlineLevel="0" collapsed="false">
      <c r="A47" s="379" t="n">
        <v>29</v>
      </c>
      <c r="B47" s="379"/>
      <c r="C47" s="406" t="s">
        <v>1284</v>
      </c>
      <c r="D47" s="406"/>
      <c r="E47" s="406"/>
      <c r="F47" s="406"/>
      <c r="G47" s="406"/>
      <c r="H47" s="571"/>
      <c r="I47" s="571"/>
      <c r="J47" s="571"/>
      <c r="K47" s="571"/>
      <c r="L47" s="571"/>
      <c r="M47" s="571"/>
      <c r="N47" s="571"/>
      <c r="O47" s="571"/>
      <c r="P47" s="571"/>
      <c r="Q47" s="571"/>
      <c r="R47" s="571"/>
      <c r="S47" s="571"/>
      <c r="T47" s="571"/>
      <c r="U47" s="571"/>
      <c r="V47" s="571"/>
      <c r="W47" s="571"/>
      <c r="X47" s="571"/>
      <c r="Y47" s="571"/>
      <c r="Z47" s="571"/>
      <c r="AA47" s="571"/>
      <c r="AB47" s="571"/>
      <c r="AC47" s="375"/>
      <c r="AD47" s="375"/>
      <c r="AE47" s="375"/>
      <c r="AF47" s="375"/>
      <c r="AG47" s="375"/>
      <c r="AH47" s="572"/>
      <c r="AI47" s="572"/>
      <c r="AJ47" s="572"/>
      <c r="AK47" s="572"/>
      <c r="AL47" s="572"/>
      <c r="AM47" s="572"/>
    </row>
    <row r="48" customFormat="false" ht="11.1" hidden="false" customHeight="true" outlineLevel="0" collapsed="false">
      <c r="A48" s="379" t="n">
        <v>30</v>
      </c>
      <c r="B48" s="379"/>
      <c r="C48" s="406" t="s">
        <v>1285</v>
      </c>
      <c r="D48" s="406"/>
      <c r="E48" s="406"/>
      <c r="F48" s="406"/>
      <c r="G48" s="406"/>
      <c r="H48" s="571"/>
      <c r="I48" s="571"/>
      <c r="J48" s="571"/>
      <c r="K48" s="571"/>
      <c r="L48" s="571"/>
      <c r="M48" s="571"/>
      <c r="N48" s="571"/>
      <c r="O48" s="571"/>
      <c r="P48" s="571"/>
      <c r="Q48" s="571"/>
      <c r="R48" s="571"/>
      <c r="S48" s="571"/>
      <c r="T48" s="571"/>
      <c r="U48" s="571"/>
      <c r="V48" s="571"/>
      <c r="W48" s="571"/>
      <c r="X48" s="571"/>
      <c r="Y48" s="571"/>
      <c r="Z48" s="571"/>
      <c r="AA48" s="571"/>
      <c r="AB48" s="571"/>
      <c r="AC48" s="375"/>
      <c r="AD48" s="375"/>
      <c r="AE48" s="375"/>
      <c r="AF48" s="375"/>
      <c r="AG48" s="375"/>
      <c r="AH48" s="572"/>
      <c r="AI48" s="572"/>
      <c r="AJ48" s="572"/>
      <c r="AK48" s="572"/>
      <c r="AL48" s="572"/>
      <c r="AM48" s="572"/>
    </row>
    <row r="49" customFormat="false" ht="11.1" hidden="false" customHeight="true" outlineLevel="0" collapsed="false">
      <c r="A49" s="379" t="n">
        <v>31</v>
      </c>
      <c r="B49" s="379"/>
      <c r="C49" s="406" t="s">
        <v>1286</v>
      </c>
      <c r="D49" s="406"/>
      <c r="E49" s="406"/>
      <c r="F49" s="406"/>
      <c r="G49" s="406"/>
      <c r="H49" s="571"/>
      <c r="I49" s="571"/>
      <c r="J49" s="571"/>
      <c r="K49" s="571"/>
      <c r="L49" s="571"/>
      <c r="M49" s="571"/>
      <c r="N49" s="571"/>
      <c r="O49" s="571"/>
      <c r="P49" s="571"/>
      <c r="Q49" s="571"/>
      <c r="R49" s="571"/>
      <c r="S49" s="571"/>
      <c r="T49" s="571"/>
      <c r="U49" s="571"/>
      <c r="V49" s="571"/>
      <c r="W49" s="571"/>
      <c r="X49" s="571"/>
      <c r="Y49" s="571"/>
      <c r="Z49" s="571"/>
      <c r="AA49" s="571"/>
      <c r="AB49" s="571"/>
      <c r="AC49" s="375"/>
      <c r="AD49" s="375"/>
      <c r="AE49" s="375"/>
      <c r="AF49" s="375"/>
      <c r="AG49" s="375"/>
      <c r="AH49" s="572"/>
      <c r="AI49" s="572"/>
      <c r="AJ49" s="572"/>
      <c r="AK49" s="572"/>
      <c r="AL49" s="572"/>
      <c r="AM49" s="572"/>
    </row>
    <row r="50" customFormat="false" ht="11.1" hidden="false" customHeight="true" outlineLevel="0" collapsed="false">
      <c r="A50" s="379" t="n">
        <v>32</v>
      </c>
      <c r="B50" s="379"/>
      <c r="C50" s="406" t="s">
        <v>1287</v>
      </c>
      <c r="D50" s="406"/>
      <c r="E50" s="406"/>
      <c r="F50" s="406"/>
      <c r="G50" s="406"/>
      <c r="H50" s="571"/>
      <c r="I50" s="571"/>
      <c r="J50" s="571"/>
      <c r="K50" s="571"/>
      <c r="L50" s="571"/>
      <c r="M50" s="571"/>
      <c r="N50" s="571"/>
      <c r="O50" s="571"/>
      <c r="P50" s="571"/>
      <c r="Q50" s="571"/>
      <c r="R50" s="571"/>
      <c r="S50" s="571"/>
      <c r="T50" s="571"/>
      <c r="U50" s="571"/>
      <c r="V50" s="571"/>
      <c r="W50" s="571"/>
      <c r="X50" s="571"/>
      <c r="Y50" s="571"/>
      <c r="Z50" s="571"/>
      <c r="AA50" s="571"/>
      <c r="AB50" s="571"/>
      <c r="AC50" s="375"/>
      <c r="AD50" s="375"/>
      <c r="AE50" s="375"/>
      <c r="AF50" s="375"/>
      <c r="AG50" s="375"/>
      <c r="AH50" s="572"/>
      <c r="AI50" s="572"/>
      <c r="AJ50" s="572"/>
      <c r="AK50" s="572"/>
      <c r="AL50" s="572"/>
      <c r="AM50" s="572"/>
    </row>
    <row r="51" customFormat="false" ht="11.1" hidden="false" customHeight="true" outlineLevel="0" collapsed="false">
      <c r="A51" s="379" t="n">
        <v>33</v>
      </c>
      <c r="B51" s="379"/>
      <c r="C51" s="406" t="s">
        <v>1288</v>
      </c>
      <c r="D51" s="406"/>
      <c r="E51" s="406"/>
      <c r="F51" s="406"/>
      <c r="G51" s="406"/>
      <c r="H51" s="571"/>
      <c r="I51" s="571"/>
      <c r="J51" s="571"/>
      <c r="K51" s="571"/>
      <c r="L51" s="571"/>
      <c r="M51" s="571"/>
      <c r="N51" s="571"/>
      <c r="O51" s="571"/>
      <c r="P51" s="571"/>
      <c r="Q51" s="571"/>
      <c r="R51" s="571"/>
      <c r="S51" s="571"/>
      <c r="T51" s="571"/>
      <c r="U51" s="571"/>
      <c r="V51" s="571"/>
      <c r="W51" s="571"/>
      <c r="X51" s="571"/>
      <c r="Y51" s="571"/>
      <c r="Z51" s="571"/>
      <c r="AA51" s="571"/>
      <c r="AB51" s="571"/>
      <c r="AC51" s="375"/>
      <c r="AD51" s="375"/>
      <c r="AE51" s="375"/>
      <c r="AF51" s="375"/>
      <c r="AG51" s="375"/>
      <c r="AH51" s="572"/>
      <c r="AI51" s="572"/>
      <c r="AJ51" s="572"/>
      <c r="AK51" s="572"/>
      <c r="AL51" s="572"/>
      <c r="AM51" s="572"/>
    </row>
    <row r="52" customFormat="false" ht="11.1" hidden="false" customHeight="true" outlineLevel="0" collapsed="false">
      <c r="A52" s="379" t="n">
        <v>34</v>
      </c>
      <c r="B52" s="379"/>
      <c r="C52" s="406" t="s">
        <v>1289</v>
      </c>
      <c r="D52" s="406"/>
      <c r="E52" s="406"/>
      <c r="F52" s="406"/>
      <c r="G52" s="406"/>
      <c r="H52" s="571"/>
      <c r="I52" s="571"/>
      <c r="J52" s="571"/>
      <c r="K52" s="571"/>
      <c r="L52" s="571"/>
      <c r="M52" s="571"/>
      <c r="N52" s="571"/>
      <c r="O52" s="571"/>
      <c r="P52" s="571"/>
      <c r="Q52" s="571"/>
      <c r="R52" s="571"/>
      <c r="S52" s="571"/>
      <c r="T52" s="571"/>
      <c r="U52" s="571"/>
      <c r="V52" s="571"/>
      <c r="W52" s="571"/>
      <c r="X52" s="571"/>
      <c r="Y52" s="571"/>
      <c r="Z52" s="571"/>
      <c r="AA52" s="571"/>
      <c r="AB52" s="571"/>
      <c r="AC52" s="375"/>
      <c r="AD52" s="375"/>
      <c r="AE52" s="375"/>
      <c r="AF52" s="375"/>
      <c r="AG52" s="375"/>
      <c r="AH52" s="572"/>
      <c r="AI52" s="572"/>
      <c r="AJ52" s="572"/>
      <c r="AK52" s="572"/>
      <c r="AL52" s="572"/>
      <c r="AM52" s="572"/>
    </row>
    <row r="53" customFormat="false" ht="11.1" hidden="false" customHeight="true" outlineLevel="0" collapsed="false">
      <c r="A53" s="379" t="n">
        <v>35</v>
      </c>
      <c r="B53" s="379"/>
      <c r="C53" s="406" t="s">
        <v>1290</v>
      </c>
      <c r="D53" s="406"/>
      <c r="E53" s="406"/>
      <c r="F53" s="406"/>
      <c r="G53" s="406"/>
      <c r="H53" s="571"/>
      <c r="I53" s="571"/>
      <c r="J53" s="571"/>
      <c r="K53" s="571"/>
      <c r="L53" s="571"/>
      <c r="M53" s="571"/>
      <c r="N53" s="571"/>
      <c r="O53" s="571"/>
      <c r="P53" s="571"/>
      <c r="Q53" s="571"/>
      <c r="R53" s="571"/>
      <c r="S53" s="571"/>
      <c r="T53" s="571"/>
      <c r="U53" s="571"/>
      <c r="V53" s="571"/>
      <c r="W53" s="571"/>
      <c r="X53" s="571"/>
      <c r="Y53" s="571"/>
      <c r="Z53" s="571"/>
      <c r="AA53" s="571"/>
      <c r="AB53" s="571"/>
      <c r="AC53" s="375"/>
      <c r="AD53" s="375"/>
      <c r="AE53" s="375"/>
      <c r="AF53" s="375"/>
      <c r="AG53" s="375"/>
      <c r="AH53" s="572"/>
      <c r="AI53" s="572"/>
      <c r="AJ53" s="572"/>
      <c r="AK53" s="572"/>
      <c r="AL53" s="572"/>
      <c r="AM53" s="572"/>
    </row>
    <row r="54" customFormat="false" ht="11.1" hidden="false" customHeight="true" outlineLevel="0" collapsed="false">
      <c r="A54" s="379" t="n">
        <v>36</v>
      </c>
      <c r="B54" s="379"/>
      <c r="C54" s="406" t="s">
        <v>1291</v>
      </c>
      <c r="D54" s="406"/>
      <c r="E54" s="406"/>
      <c r="F54" s="406"/>
      <c r="G54" s="406"/>
      <c r="H54" s="571"/>
      <c r="I54" s="571"/>
      <c r="J54" s="571"/>
      <c r="K54" s="571"/>
      <c r="L54" s="571"/>
      <c r="M54" s="571"/>
      <c r="N54" s="571"/>
      <c r="O54" s="571"/>
      <c r="P54" s="571"/>
      <c r="Q54" s="571"/>
      <c r="R54" s="571"/>
      <c r="S54" s="571"/>
      <c r="T54" s="571"/>
      <c r="U54" s="571"/>
      <c r="V54" s="571"/>
      <c r="W54" s="571"/>
      <c r="X54" s="571"/>
      <c r="Y54" s="571"/>
      <c r="Z54" s="571"/>
      <c r="AA54" s="571"/>
      <c r="AB54" s="571"/>
      <c r="AC54" s="375"/>
      <c r="AD54" s="375"/>
      <c r="AE54" s="375"/>
      <c r="AF54" s="375"/>
      <c r="AG54" s="375"/>
      <c r="AH54" s="572"/>
      <c r="AI54" s="572"/>
      <c r="AJ54" s="572"/>
      <c r="AK54" s="572"/>
      <c r="AL54" s="572"/>
      <c r="AM54" s="572"/>
    </row>
    <row r="55" customFormat="false" ht="11.1" hidden="false" customHeight="true" outlineLevel="0" collapsed="false">
      <c r="A55" s="379" t="n">
        <v>37</v>
      </c>
      <c r="B55" s="379"/>
      <c r="C55" s="406" t="s">
        <v>1292</v>
      </c>
      <c r="D55" s="406"/>
      <c r="E55" s="406"/>
      <c r="F55" s="406"/>
      <c r="G55" s="406"/>
      <c r="H55" s="571"/>
      <c r="I55" s="571"/>
      <c r="J55" s="571"/>
      <c r="K55" s="571"/>
      <c r="L55" s="571"/>
      <c r="M55" s="571"/>
      <c r="N55" s="571"/>
      <c r="O55" s="571"/>
      <c r="P55" s="571"/>
      <c r="Q55" s="571"/>
      <c r="R55" s="571"/>
      <c r="S55" s="571"/>
      <c r="T55" s="571"/>
      <c r="U55" s="571"/>
      <c r="V55" s="571"/>
      <c r="W55" s="571"/>
      <c r="X55" s="571"/>
      <c r="Y55" s="571"/>
      <c r="Z55" s="571"/>
      <c r="AA55" s="571"/>
      <c r="AB55" s="571"/>
      <c r="AC55" s="375"/>
      <c r="AD55" s="375"/>
      <c r="AE55" s="375"/>
      <c r="AF55" s="375"/>
      <c r="AG55" s="375"/>
      <c r="AH55" s="572"/>
      <c r="AI55" s="572"/>
      <c r="AJ55" s="572"/>
      <c r="AK55" s="572"/>
      <c r="AL55" s="572"/>
      <c r="AM55" s="572"/>
    </row>
    <row r="56" customFormat="false" ht="11.1" hidden="false" customHeight="true" outlineLevel="0" collapsed="false">
      <c r="A56" s="379" t="n">
        <v>38</v>
      </c>
      <c r="B56" s="379"/>
      <c r="C56" s="406" t="s">
        <v>1293</v>
      </c>
      <c r="D56" s="406"/>
      <c r="E56" s="406"/>
      <c r="F56" s="406"/>
      <c r="G56" s="406"/>
      <c r="H56" s="571"/>
      <c r="I56" s="571"/>
      <c r="J56" s="571"/>
      <c r="K56" s="571"/>
      <c r="L56" s="571"/>
      <c r="M56" s="571"/>
      <c r="N56" s="571"/>
      <c r="O56" s="571"/>
      <c r="P56" s="571"/>
      <c r="Q56" s="571"/>
      <c r="R56" s="571"/>
      <c r="S56" s="571"/>
      <c r="T56" s="571"/>
      <c r="U56" s="571"/>
      <c r="V56" s="571"/>
      <c r="W56" s="571"/>
      <c r="X56" s="571"/>
      <c r="Y56" s="571"/>
      <c r="Z56" s="571"/>
      <c r="AA56" s="571"/>
      <c r="AB56" s="571"/>
      <c r="AC56" s="375"/>
      <c r="AD56" s="375"/>
      <c r="AE56" s="375"/>
      <c r="AF56" s="375"/>
      <c r="AG56" s="375"/>
      <c r="AH56" s="572"/>
      <c r="AI56" s="572"/>
      <c r="AJ56" s="572"/>
      <c r="AK56" s="572"/>
      <c r="AL56" s="572"/>
      <c r="AM56" s="572"/>
    </row>
    <row r="57" customFormat="false" ht="11.1" hidden="false" customHeight="true" outlineLevel="0" collapsed="false">
      <c r="A57" s="379" t="n">
        <v>39</v>
      </c>
      <c r="B57" s="379"/>
      <c r="C57" s="406" t="s">
        <v>1294</v>
      </c>
      <c r="D57" s="406"/>
      <c r="E57" s="406"/>
      <c r="F57" s="406"/>
      <c r="G57" s="406"/>
      <c r="H57" s="571"/>
      <c r="I57" s="571"/>
      <c r="J57" s="571"/>
      <c r="K57" s="571"/>
      <c r="L57" s="571"/>
      <c r="M57" s="571"/>
      <c r="N57" s="571"/>
      <c r="O57" s="571"/>
      <c r="P57" s="571"/>
      <c r="Q57" s="571"/>
      <c r="R57" s="571"/>
      <c r="S57" s="571"/>
      <c r="T57" s="571"/>
      <c r="U57" s="571"/>
      <c r="V57" s="571"/>
      <c r="W57" s="571"/>
      <c r="X57" s="571"/>
      <c r="Y57" s="571"/>
      <c r="Z57" s="571"/>
      <c r="AA57" s="571"/>
      <c r="AB57" s="571"/>
      <c r="AC57" s="375"/>
      <c r="AD57" s="375"/>
      <c r="AE57" s="375"/>
      <c r="AF57" s="375"/>
      <c r="AG57" s="375"/>
      <c r="AH57" s="572"/>
      <c r="AI57" s="572"/>
      <c r="AJ57" s="572"/>
      <c r="AK57" s="572"/>
      <c r="AL57" s="572"/>
      <c r="AM57" s="572"/>
    </row>
    <row r="58" customFormat="false" ht="11.1" hidden="false" customHeight="true" outlineLevel="0" collapsed="false">
      <c r="A58" s="379" t="n">
        <v>40</v>
      </c>
      <c r="B58" s="379"/>
      <c r="C58" s="406" t="s">
        <v>1295</v>
      </c>
      <c r="D58" s="406"/>
      <c r="E58" s="406"/>
      <c r="F58" s="406"/>
      <c r="G58" s="406"/>
      <c r="H58" s="571"/>
      <c r="I58" s="571"/>
      <c r="J58" s="571"/>
      <c r="K58" s="571"/>
      <c r="L58" s="571"/>
      <c r="M58" s="571"/>
      <c r="N58" s="571"/>
      <c r="O58" s="571"/>
      <c r="P58" s="571"/>
      <c r="Q58" s="571"/>
      <c r="R58" s="571"/>
      <c r="S58" s="571"/>
      <c r="T58" s="571"/>
      <c r="U58" s="571"/>
      <c r="V58" s="571"/>
      <c r="W58" s="571"/>
      <c r="X58" s="571"/>
      <c r="Y58" s="571"/>
      <c r="Z58" s="571"/>
      <c r="AA58" s="571"/>
      <c r="AB58" s="571"/>
      <c r="AC58" s="375"/>
      <c r="AD58" s="375"/>
      <c r="AE58" s="375"/>
      <c r="AF58" s="375"/>
      <c r="AG58" s="375"/>
      <c r="AH58" s="572"/>
      <c r="AI58" s="572"/>
      <c r="AJ58" s="572"/>
      <c r="AK58" s="572"/>
      <c r="AL58" s="572"/>
      <c r="AM58" s="572"/>
    </row>
    <row r="59" customFormat="false" ht="11.1" hidden="false" customHeight="true" outlineLevel="0" collapsed="false">
      <c r="A59" s="379" t="n">
        <v>41</v>
      </c>
      <c r="B59" s="379"/>
      <c r="C59" s="406" t="s">
        <v>1296</v>
      </c>
      <c r="D59" s="406"/>
      <c r="E59" s="406"/>
      <c r="F59" s="406"/>
      <c r="G59" s="406"/>
      <c r="H59" s="571"/>
      <c r="I59" s="571"/>
      <c r="J59" s="571"/>
      <c r="K59" s="571"/>
      <c r="L59" s="571"/>
      <c r="M59" s="571"/>
      <c r="N59" s="571"/>
      <c r="O59" s="571"/>
      <c r="P59" s="571"/>
      <c r="Q59" s="571"/>
      <c r="R59" s="571"/>
      <c r="S59" s="571"/>
      <c r="T59" s="571"/>
      <c r="U59" s="571"/>
      <c r="V59" s="571"/>
      <c r="W59" s="571"/>
      <c r="X59" s="571"/>
      <c r="Y59" s="571"/>
      <c r="Z59" s="571"/>
      <c r="AA59" s="571"/>
      <c r="AB59" s="571"/>
      <c r="AC59" s="375"/>
      <c r="AD59" s="375"/>
      <c r="AE59" s="375"/>
      <c r="AF59" s="375"/>
      <c r="AG59" s="375"/>
      <c r="AH59" s="572"/>
      <c r="AI59" s="572"/>
      <c r="AJ59" s="572"/>
      <c r="AK59" s="572"/>
      <c r="AL59" s="572"/>
      <c r="AM59" s="572"/>
    </row>
    <row r="60" customFormat="false" ht="11.1" hidden="false" customHeight="true" outlineLevel="0" collapsed="false">
      <c r="A60" s="379" t="n">
        <v>42</v>
      </c>
      <c r="B60" s="379"/>
      <c r="C60" s="406" t="s">
        <v>1297</v>
      </c>
      <c r="D60" s="406"/>
      <c r="E60" s="406"/>
      <c r="F60" s="406"/>
      <c r="G60" s="406"/>
      <c r="H60" s="571"/>
      <c r="I60" s="571"/>
      <c r="J60" s="571"/>
      <c r="K60" s="571"/>
      <c r="L60" s="571"/>
      <c r="M60" s="571"/>
      <c r="N60" s="571"/>
      <c r="O60" s="571"/>
      <c r="P60" s="571"/>
      <c r="Q60" s="571"/>
      <c r="R60" s="571"/>
      <c r="S60" s="571"/>
      <c r="T60" s="571"/>
      <c r="U60" s="571"/>
      <c r="V60" s="571"/>
      <c r="W60" s="571"/>
      <c r="X60" s="571"/>
      <c r="Y60" s="571"/>
      <c r="Z60" s="571"/>
      <c r="AA60" s="571"/>
      <c r="AB60" s="571"/>
      <c r="AC60" s="375"/>
      <c r="AD60" s="375"/>
      <c r="AE60" s="375"/>
      <c r="AF60" s="375"/>
      <c r="AG60" s="375"/>
      <c r="AH60" s="572"/>
      <c r="AI60" s="572"/>
      <c r="AJ60" s="572"/>
      <c r="AK60" s="572"/>
      <c r="AL60" s="572"/>
      <c r="AM60" s="572"/>
    </row>
    <row r="61" customFormat="false" ht="11.1" hidden="false" customHeight="true" outlineLevel="0" collapsed="false">
      <c r="A61" s="379" t="n">
        <v>43</v>
      </c>
      <c r="B61" s="379"/>
      <c r="C61" s="406" t="s">
        <v>1298</v>
      </c>
      <c r="D61" s="406"/>
      <c r="E61" s="406"/>
      <c r="F61" s="406"/>
      <c r="G61" s="406"/>
      <c r="H61" s="571"/>
      <c r="I61" s="571"/>
      <c r="J61" s="571"/>
      <c r="K61" s="571"/>
      <c r="L61" s="571"/>
      <c r="M61" s="571"/>
      <c r="N61" s="571"/>
      <c r="O61" s="571"/>
      <c r="P61" s="571"/>
      <c r="Q61" s="571"/>
      <c r="R61" s="571"/>
      <c r="S61" s="571"/>
      <c r="T61" s="571"/>
      <c r="U61" s="571"/>
      <c r="V61" s="571"/>
      <c r="W61" s="571"/>
      <c r="X61" s="571"/>
      <c r="Y61" s="571"/>
      <c r="Z61" s="571"/>
      <c r="AA61" s="571"/>
      <c r="AB61" s="571"/>
      <c r="AC61" s="375"/>
      <c r="AD61" s="375"/>
      <c r="AE61" s="375"/>
      <c r="AF61" s="375"/>
      <c r="AG61" s="375"/>
      <c r="AH61" s="572"/>
      <c r="AI61" s="572"/>
      <c r="AJ61" s="572"/>
      <c r="AK61" s="572"/>
      <c r="AL61" s="572"/>
      <c r="AM61" s="572"/>
    </row>
    <row r="62" customFormat="false" ht="11.1" hidden="false" customHeight="true" outlineLevel="0" collapsed="false">
      <c r="A62" s="379" t="n">
        <v>44</v>
      </c>
      <c r="B62" s="379"/>
      <c r="C62" s="406" t="s">
        <v>1299</v>
      </c>
      <c r="D62" s="406"/>
      <c r="E62" s="406"/>
      <c r="F62" s="406"/>
      <c r="G62" s="406"/>
      <c r="H62" s="571"/>
      <c r="I62" s="571"/>
      <c r="J62" s="571"/>
      <c r="K62" s="571"/>
      <c r="L62" s="571"/>
      <c r="M62" s="571"/>
      <c r="N62" s="571"/>
      <c r="O62" s="571"/>
      <c r="P62" s="571"/>
      <c r="Q62" s="571"/>
      <c r="R62" s="571"/>
      <c r="S62" s="571"/>
      <c r="T62" s="571"/>
      <c r="U62" s="571"/>
      <c r="V62" s="571"/>
      <c r="W62" s="571"/>
      <c r="X62" s="571"/>
      <c r="Y62" s="571"/>
      <c r="Z62" s="571"/>
      <c r="AA62" s="571"/>
      <c r="AB62" s="571"/>
      <c r="AC62" s="375"/>
      <c r="AD62" s="375"/>
      <c r="AE62" s="375"/>
      <c r="AF62" s="375"/>
      <c r="AG62" s="375"/>
      <c r="AH62" s="572"/>
      <c r="AI62" s="572"/>
      <c r="AJ62" s="572"/>
      <c r="AK62" s="572"/>
      <c r="AL62" s="572"/>
      <c r="AM62" s="572"/>
    </row>
    <row r="63" customFormat="false" ht="11.1" hidden="false" customHeight="true" outlineLevel="0" collapsed="false">
      <c r="A63" s="379" t="n">
        <v>45</v>
      </c>
      <c r="B63" s="379"/>
      <c r="C63" s="406" t="s">
        <v>1300</v>
      </c>
      <c r="D63" s="406"/>
      <c r="E63" s="406"/>
      <c r="F63" s="406"/>
      <c r="G63" s="406"/>
      <c r="H63" s="571"/>
      <c r="I63" s="571"/>
      <c r="J63" s="571"/>
      <c r="K63" s="571"/>
      <c r="L63" s="571"/>
      <c r="M63" s="571"/>
      <c r="N63" s="571"/>
      <c r="O63" s="571"/>
      <c r="P63" s="571"/>
      <c r="Q63" s="571"/>
      <c r="R63" s="571"/>
      <c r="S63" s="571"/>
      <c r="T63" s="571"/>
      <c r="U63" s="571"/>
      <c r="V63" s="571"/>
      <c r="W63" s="571"/>
      <c r="X63" s="571"/>
      <c r="Y63" s="571"/>
      <c r="Z63" s="571"/>
      <c r="AA63" s="571"/>
      <c r="AB63" s="571"/>
      <c r="AC63" s="375"/>
      <c r="AD63" s="375"/>
      <c r="AE63" s="375"/>
      <c r="AF63" s="375"/>
      <c r="AG63" s="375"/>
      <c r="AH63" s="572"/>
      <c r="AI63" s="572"/>
      <c r="AJ63" s="572"/>
      <c r="AK63" s="572"/>
      <c r="AL63" s="572"/>
      <c r="AM63" s="572"/>
    </row>
    <row r="64" customFormat="false" ht="11.1" hidden="false" customHeight="true" outlineLevel="0" collapsed="false">
      <c r="A64" s="379" t="n">
        <v>46</v>
      </c>
      <c r="B64" s="379"/>
      <c r="C64" s="406" t="s">
        <v>1301</v>
      </c>
      <c r="D64" s="406"/>
      <c r="E64" s="406"/>
      <c r="F64" s="406"/>
      <c r="G64" s="406"/>
      <c r="H64" s="571"/>
      <c r="I64" s="571"/>
      <c r="J64" s="571"/>
      <c r="K64" s="571"/>
      <c r="L64" s="571"/>
      <c r="M64" s="571"/>
      <c r="N64" s="571"/>
      <c r="O64" s="571"/>
      <c r="P64" s="571"/>
      <c r="Q64" s="571"/>
      <c r="R64" s="571"/>
      <c r="S64" s="571"/>
      <c r="T64" s="571"/>
      <c r="U64" s="571"/>
      <c r="V64" s="571"/>
      <c r="W64" s="571"/>
      <c r="X64" s="571"/>
      <c r="Y64" s="571"/>
      <c r="Z64" s="571"/>
      <c r="AA64" s="571"/>
      <c r="AB64" s="571"/>
      <c r="AC64" s="375"/>
      <c r="AD64" s="375"/>
      <c r="AE64" s="375"/>
      <c r="AF64" s="375"/>
      <c r="AG64" s="375"/>
      <c r="AH64" s="572"/>
      <c r="AI64" s="572"/>
      <c r="AJ64" s="572"/>
      <c r="AK64" s="572"/>
      <c r="AL64" s="572"/>
      <c r="AM64" s="572"/>
    </row>
    <row r="65" customFormat="false" ht="11.1" hidden="false" customHeight="true" outlineLevel="0" collapsed="false">
      <c r="A65" s="379" t="n">
        <v>47</v>
      </c>
      <c r="B65" s="379"/>
      <c r="C65" s="406" t="s">
        <v>1302</v>
      </c>
      <c r="D65" s="406"/>
      <c r="E65" s="406"/>
      <c r="F65" s="406"/>
      <c r="G65" s="406"/>
      <c r="H65" s="580" t="s">
        <v>859</v>
      </c>
      <c r="I65" s="580"/>
      <c r="J65" s="580"/>
      <c r="K65" s="580"/>
      <c r="L65" s="580"/>
      <c r="M65" s="580"/>
      <c r="N65" s="580"/>
      <c r="O65" s="580"/>
      <c r="P65" s="392" t="s">
        <v>1133</v>
      </c>
      <c r="Q65" s="392"/>
      <c r="R65" s="392"/>
      <c r="S65" s="392"/>
      <c r="T65" s="392"/>
      <c r="U65" s="392"/>
      <c r="V65" s="392"/>
      <c r="W65" s="392"/>
      <c r="X65" s="392" t="s">
        <v>860</v>
      </c>
      <c r="Y65" s="392"/>
      <c r="Z65" s="392"/>
      <c r="AA65" s="392"/>
      <c r="AB65" s="392"/>
      <c r="AC65" s="392"/>
      <c r="AD65" s="392"/>
      <c r="AE65" s="392"/>
      <c r="AF65" s="393" t="s">
        <v>239</v>
      </c>
      <c r="AG65" s="393"/>
      <c r="AH65" s="393"/>
      <c r="AI65" s="393"/>
      <c r="AJ65" s="393"/>
      <c r="AK65" s="393"/>
      <c r="AL65" s="393"/>
      <c r="AM65" s="393"/>
    </row>
    <row r="66" customFormat="false" ht="11.1" hidden="false" customHeight="true" outlineLevel="0" collapsed="false">
      <c r="A66" s="379" t="n">
        <v>48</v>
      </c>
      <c r="B66" s="379"/>
      <c r="C66" s="406" t="s">
        <v>1303</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1304</v>
      </c>
      <c r="D67" s="406"/>
      <c r="E67" s="406"/>
      <c r="F67" s="406"/>
      <c r="G67" s="406"/>
      <c r="H67" s="580" t="s">
        <v>243</v>
      </c>
      <c r="I67" s="580"/>
      <c r="J67" s="580"/>
      <c r="K67" s="580"/>
      <c r="L67" s="580"/>
      <c r="M67" s="580"/>
      <c r="N67" s="580"/>
      <c r="O67" s="580"/>
      <c r="P67" s="392" t="s">
        <v>854</v>
      </c>
      <c r="Q67" s="392"/>
      <c r="R67" s="392"/>
      <c r="S67" s="392"/>
      <c r="T67" s="392"/>
      <c r="U67" s="392"/>
      <c r="V67" s="392"/>
      <c r="W67" s="392"/>
      <c r="X67" s="392" t="s">
        <v>866</v>
      </c>
      <c r="Y67" s="392"/>
      <c r="Z67" s="392"/>
      <c r="AA67" s="392"/>
      <c r="AB67" s="392"/>
      <c r="AC67" s="392"/>
      <c r="AD67" s="392"/>
      <c r="AE67" s="392"/>
      <c r="AF67" s="393" t="s">
        <v>1134</v>
      </c>
      <c r="AG67" s="393"/>
      <c r="AH67" s="393"/>
      <c r="AI67" s="393"/>
      <c r="AJ67" s="393"/>
      <c r="AK67" s="393"/>
      <c r="AL67" s="393"/>
      <c r="AM67" s="393"/>
    </row>
    <row r="68" customFormat="false" ht="11.1" hidden="false" customHeight="true" outlineLevel="0" collapsed="false">
      <c r="A68" s="394" t="n">
        <v>50</v>
      </c>
      <c r="B68" s="394"/>
      <c r="C68" s="582" t="s">
        <v>1305</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376">
    <mergeCell ref="A1:AM1"/>
    <mergeCell ref="A2:AJ2"/>
    <mergeCell ref="AK2:AM2"/>
    <mergeCell ref="A3:M3"/>
    <mergeCell ref="N3:Z3"/>
    <mergeCell ref="AA3:AM3"/>
    <mergeCell ref="A4:M4"/>
    <mergeCell ref="N4:Z4"/>
    <mergeCell ref="AA4:AH4"/>
    <mergeCell ref="AI4:AJ4"/>
    <mergeCell ref="AK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H8"/>
    <mergeCell ref="AI8:AJ8"/>
    <mergeCell ref="AK8:AL8"/>
    <mergeCell ref="A9:M9"/>
    <mergeCell ref="N9:Z9"/>
    <mergeCell ref="AA9:AH9"/>
    <mergeCell ref="AI9:AL9"/>
    <mergeCell ref="A10:M10"/>
    <mergeCell ref="N10:R10"/>
    <mergeCell ref="S10:T10"/>
    <mergeCell ref="U10:Y10"/>
    <mergeCell ref="AA10:AH10"/>
    <mergeCell ref="AJ10:AL10"/>
    <mergeCell ref="A11:M11"/>
    <mergeCell ref="O11:R11"/>
    <mergeCell ref="S11:T11"/>
    <mergeCell ref="U11:Y11"/>
    <mergeCell ref="AA11:AH11"/>
    <mergeCell ref="AJ11:AL11"/>
    <mergeCell ref="A12:M12"/>
    <mergeCell ref="O12:R12"/>
    <mergeCell ref="S12:T12"/>
    <mergeCell ref="U12:Y12"/>
    <mergeCell ref="AA12:AH12"/>
    <mergeCell ref="AI12:AL12"/>
    <mergeCell ref="A13:M13"/>
    <mergeCell ref="O13:R13"/>
    <mergeCell ref="S13:T13"/>
    <mergeCell ref="U13:Y13"/>
    <mergeCell ref="AA13:AH13"/>
    <mergeCell ref="AJ13:AL13"/>
    <mergeCell ref="A14:M14"/>
    <mergeCell ref="N14:Z14"/>
    <mergeCell ref="AA14:AH14"/>
    <mergeCell ref="AI14:AJ14"/>
    <mergeCell ref="AK14:AL14"/>
    <mergeCell ref="A15:M15"/>
    <mergeCell ref="N15:Z15"/>
    <mergeCell ref="AA15:AH15"/>
    <mergeCell ref="AJ15:AL15"/>
    <mergeCell ref="A16:AM16"/>
    <mergeCell ref="A17:M17"/>
    <mergeCell ref="N17:Z17"/>
    <mergeCell ref="AA17:AM17"/>
    <mergeCell ref="A18:G18"/>
    <mergeCell ref="H18:AM18"/>
    <mergeCell ref="A19:B19"/>
    <mergeCell ref="C19:G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B30"/>
    <mergeCell ref="AC30:AE30"/>
    <mergeCell ref="AF30:AG30"/>
    <mergeCell ref="AH30:AM30"/>
    <mergeCell ref="A31:B31"/>
    <mergeCell ref="C31:G31"/>
    <mergeCell ref="H31:AB31"/>
    <mergeCell ref="AC31:AE31"/>
    <mergeCell ref="AF31:AG31"/>
    <mergeCell ref="AH31:AM31"/>
    <mergeCell ref="A32:B32"/>
    <mergeCell ref="C32:G32"/>
    <mergeCell ref="H32:AB32"/>
    <mergeCell ref="AC32:AE32"/>
    <mergeCell ref="AF32:AG32"/>
    <mergeCell ref="AH32:AM32"/>
    <mergeCell ref="A33:B33"/>
    <mergeCell ref="C33:G33"/>
    <mergeCell ref="H33:AB33"/>
    <mergeCell ref="AC33:AE33"/>
    <mergeCell ref="AF33:AG33"/>
    <mergeCell ref="AH33:AM33"/>
    <mergeCell ref="A34:B34"/>
    <mergeCell ref="C34:G34"/>
    <mergeCell ref="H34:AB34"/>
    <mergeCell ref="AC34:AE34"/>
    <mergeCell ref="AF34:AG34"/>
    <mergeCell ref="AH34:AM34"/>
    <mergeCell ref="A35:B35"/>
    <mergeCell ref="C35:G35"/>
    <mergeCell ref="H35:AB35"/>
    <mergeCell ref="AC35:AE35"/>
    <mergeCell ref="AF35:AG35"/>
    <mergeCell ref="AH35:AM35"/>
    <mergeCell ref="A36:B36"/>
    <mergeCell ref="C36:G36"/>
    <mergeCell ref="H36:AB36"/>
    <mergeCell ref="AC36:AE36"/>
    <mergeCell ref="AF36:AG36"/>
    <mergeCell ref="AH36:AM36"/>
    <mergeCell ref="A37:B37"/>
    <mergeCell ref="C37:G37"/>
    <mergeCell ref="H37:AB37"/>
    <mergeCell ref="AC37:AE37"/>
    <mergeCell ref="AF37:AG37"/>
    <mergeCell ref="AH37:AM37"/>
    <mergeCell ref="A38:B38"/>
    <mergeCell ref="C38:G38"/>
    <mergeCell ref="H38:AB38"/>
    <mergeCell ref="AC38:AE38"/>
    <mergeCell ref="AF38:AG38"/>
    <mergeCell ref="AH38:AM38"/>
    <mergeCell ref="A39:B39"/>
    <mergeCell ref="C39:G39"/>
    <mergeCell ref="H39:AB39"/>
    <mergeCell ref="AC39:AE39"/>
    <mergeCell ref="AF39:AG39"/>
    <mergeCell ref="AH39:AM39"/>
    <mergeCell ref="A40:B40"/>
    <mergeCell ref="C40:G40"/>
    <mergeCell ref="H40:AB40"/>
    <mergeCell ref="AC40:AE40"/>
    <mergeCell ref="AF40:AG40"/>
    <mergeCell ref="AH40:AM40"/>
    <mergeCell ref="A41:B41"/>
    <mergeCell ref="C41:G41"/>
    <mergeCell ref="H41:AB41"/>
    <mergeCell ref="AC41:AE41"/>
    <mergeCell ref="AF41:AG41"/>
    <mergeCell ref="AH41:AM41"/>
    <mergeCell ref="A42:B42"/>
    <mergeCell ref="C42:G42"/>
    <mergeCell ref="H42:AB42"/>
    <mergeCell ref="AC42:AE42"/>
    <mergeCell ref="AF42:AG42"/>
    <mergeCell ref="AH42:AM42"/>
    <mergeCell ref="A43:B43"/>
    <mergeCell ref="C43:G43"/>
    <mergeCell ref="H43:AB43"/>
    <mergeCell ref="AC43:AE43"/>
    <mergeCell ref="AF43:AG43"/>
    <mergeCell ref="AH43:AM43"/>
    <mergeCell ref="A44:B44"/>
    <mergeCell ref="C44:G44"/>
    <mergeCell ref="H44:AB44"/>
    <mergeCell ref="AC44:AE44"/>
    <mergeCell ref="AF44:AG44"/>
    <mergeCell ref="AH44:AM44"/>
    <mergeCell ref="A45:B45"/>
    <mergeCell ref="C45:G45"/>
    <mergeCell ref="H45:AB45"/>
    <mergeCell ref="AC45:AE45"/>
    <mergeCell ref="AF45:AG45"/>
    <mergeCell ref="AH45:AM45"/>
    <mergeCell ref="A46:B46"/>
    <mergeCell ref="C46:G46"/>
    <mergeCell ref="H46:AB46"/>
    <mergeCell ref="AC46:AE46"/>
    <mergeCell ref="AF46:AG46"/>
    <mergeCell ref="AH46:AM46"/>
    <mergeCell ref="A47:B47"/>
    <mergeCell ref="C47:G47"/>
    <mergeCell ref="H47:AB47"/>
    <mergeCell ref="AC47:AE47"/>
    <mergeCell ref="AF47:AG47"/>
    <mergeCell ref="AH47:AM47"/>
    <mergeCell ref="A48:B48"/>
    <mergeCell ref="C48:G48"/>
    <mergeCell ref="H48:AB48"/>
    <mergeCell ref="AC48:AE48"/>
    <mergeCell ref="AF48:AG48"/>
    <mergeCell ref="AH48:AM48"/>
    <mergeCell ref="A49:B49"/>
    <mergeCell ref="C49:G49"/>
    <mergeCell ref="H49:AB49"/>
    <mergeCell ref="AC49:AE49"/>
    <mergeCell ref="AF49:AG49"/>
    <mergeCell ref="AH49:AM49"/>
    <mergeCell ref="A50:B50"/>
    <mergeCell ref="C50:G50"/>
    <mergeCell ref="H50:AB50"/>
    <mergeCell ref="AC50:AE50"/>
    <mergeCell ref="AF50:AG50"/>
    <mergeCell ref="AH50:AM50"/>
    <mergeCell ref="A51:B51"/>
    <mergeCell ref="C51:G51"/>
    <mergeCell ref="H51:AB51"/>
    <mergeCell ref="AC51:AE51"/>
    <mergeCell ref="AF51:AG51"/>
    <mergeCell ref="AH51:AM51"/>
    <mergeCell ref="A52:B52"/>
    <mergeCell ref="C52:G52"/>
    <mergeCell ref="H52:AB52"/>
    <mergeCell ref="AC52:AE52"/>
    <mergeCell ref="AF52:AG52"/>
    <mergeCell ref="AH52:AM52"/>
    <mergeCell ref="A53:B53"/>
    <mergeCell ref="C53:G53"/>
    <mergeCell ref="H53:AB53"/>
    <mergeCell ref="AC53:AE53"/>
    <mergeCell ref="AF53:AG53"/>
    <mergeCell ref="AH53:AM53"/>
    <mergeCell ref="A54:B54"/>
    <mergeCell ref="C54:G54"/>
    <mergeCell ref="H54:AB54"/>
    <mergeCell ref="AC54:AE54"/>
    <mergeCell ref="AF54:AG54"/>
    <mergeCell ref="AH54:AM54"/>
    <mergeCell ref="A55:B55"/>
    <mergeCell ref="C55:G55"/>
    <mergeCell ref="H55:AB55"/>
    <mergeCell ref="AC55:AE55"/>
    <mergeCell ref="AF55:AG55"/>
    <mergeCell ref="AH55:AM55"/>
    <mergeCell ref="A56:B56"/>
    <mergeCell ref="C56:G56"/>
    <mergeCell ref="H56:AB56"/>
    <mergeCell ref="AC56:AE56"/>
    <mergeCell ref="AF56:AG56"/>
    <mergeCell ref="AH56:AM56"/>
    <mergeCell ref="A57:B57"/>
    <mergeCell ref="C57:G57"/>
    <mergeCell ref="H57:AB57"/>
    <mergeCell ref="AC57:AE57"/>
    <mergeCell ref="AF57:AG57"/>
    <mergeCell ref="AH57:AM57"/>
    <mergeCell ref="A58:B58"/>
    <mergeCell ref="C58:G58"/>
    <mergeCell ref="H58:AB58"/>
    <mergeCell ref="AC58:AE58"/>
    <mergeCell ref="AF58:AG58"/>
    <mergeCell ref="AH58:AM58"/>
    <mergeCell ref="A59:B59"/>
    <mergeCell ref="C59:G59"/>
    <mergeCell ref="H59:AB59"/>
    <mergeCell ref="AC59:AE59"/>
    <mergeCell ref="AF59:AG59"/>
    <mergeCell ref="AH59:AM59"/>
    <mergeCell ref="A60:B60"/>
    <mergeCell ref="C60:G60"/>
    <mergeCell ref="H60:AB60"/>
    <mergeCell ref="AC60:AE60"/>
    <mergeCell ref="AF60:AG60"/>
    <mergeCell ref="AH60:AM60"/>
    <mergeCell ref="A61:B61"/>
    <mergeCell ref="C61:G61"/>
    <mergeCell ref="H61:AB61"/>
    <mergeCell ref="AC61:AE61"/>
    <mergeCell ref="AF61:AG61"/>
    <mergeCell ref="AH61:AM61"/>
    <mergeCell ref="A62:B62"/>
    <mergeCell ref="C62:G62"/>
    <mergeCell ref="H62:AB62"/>
    <mergeCell ref="AC62:AE62"/>
    <mergeCell ref="AF62:AG62"/>
    <mergeCell ref="AH62:AM62"/>
    <mergeCell ref="A63:B63"/>
    <mergeCell ref="C63:G63"/>
    <mergeCell ref="H63:AB63"/>
    <mergeCell ref="AC63:AE63"/>
    <mergeCell ref="AF63:AG63"/>
    <mergeCell ref="AH63:AM63"/>
    <mergeCell ref="A64:B64"/>
    <mergeCell ref="C64:G64"/>
    <mergeCell ref="H64:AB64"/>
    <mergeCell ref="AC64:AE64"/>
    <mergeCell ref="AF64:AG64"/>
    <mergeCell ref="AH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AE60"/>
  <sheetViews>
    <sheetView showFormulas="false" showGridLines="true" showRowColHeaders="true" showZeros="true" rightToLeft="false" tabSelected="false" showOutlineSymbols="true" defaultGridColor="true" view="normal" topLeftCell="S16" colorId="64" zoomScale="110" zoomScaleNormal="110" zoomScalePageLayoutView="100" workbookViewId="0">
      <selection pane="topLeft" activeCell="AC46" activeCellId="0" sqref="AC46"/>
    </sheetView>
  </sheetViews>
  <sheetFormatPr defaultRowHeight="12.75" zeroHeight="false" outlineLevelRow="0" outlineLevelCol="0"/>
  <cols>
    <col collapsed="false" customWidth="true" hidden="false" outlineLevel="0" max="1" min="1" style="32" width="9.66"/>
    <col collapsed="false" customWidth="true" hidden="false" outlineLevel="0" max="2" min="2" style="32" width="7.32"/>
    <col collapsed="false" customWidth="true" hidden="false" outlineLevel="0" max="3" min="3" style="32" width="18.5"/>
    <col collapsed="false" customWidth="true" hidden="false" outlineLevel="0" max="17" min="4" style="32" width="11.31"/>
    <col collapsed="false" customWidth="true" hidden="false" outlineLevel="0" max="18" min="18" style="32" width="24.64"/>
    <col collapsed="false" customWidth="true" hidden="false" outlineLevel="0" max="27" min="19" style="32" width="11.31"/>
    <col collapsed="false" customWidth="true" hidden="false" outlineLevel="0" max="28" min="28" style="32" width="12.5"/>
    <col collapsed="false" customWidth="true" hidden="false" outlineLevel="0" max="29" min="29" style="32" width="11.31"/>
    <col collapsed="false" customWidth="true" hidden="false" outlineLevel="0" max="30" min="30" style="32" width="17.5"/>
    <col collapsed="false" customWidth="true" hidden="false" outlineLevel="0" max="1025" min="31" style="32" width="11.31"/>
  </cols>
  <sheetData>
    <row r="2" customFormat="false" ht="12.75" hidden="false" customHeight="false" outlineLevel="0" collapsed="false">
      <c r="Z2" s="591"/>
      <c r="AA2" s="591"/>
      <c r="AB2" s="592" t="s">
        <v>1319</v>
      </c>
      <c r="AC2" s="593" t="s">
        <v>1320</v>
      </c>
      <c r="AD2" s="593" t="s">
        <v>35</v>
      </c>
      <c r="AE2" s="594" t="s">
        <v>34</v>
      </c>
    </row>
    <row r="3" customFormat="false" ht="12.75" hidden="false" customHeight="false" outlineLevel="0" collapsed="false">
      <c r="B3" s="594" t="s">
        <v>1321</v>
      </c>
      <c r="C3" s="594"/>
      <c r="F3" s="595" t="s">
        <v>1322</v>
      </c>
      <c r="G3" s="595"/>
      <c r="H3" s="595"/>
      <c r="I3" s="595"/>
      <c r="J3" s="595"/>
      <c r="K3" s="595"/>
      <c r="L3" s="594" t="s">
        <v>1135</v>
      </c>
      <c r="M3" s="594"/>
      <c r="N3" s="594"/>
      <c r="O3" s="596" t="s">
        <v>1323</v>
      </c>
      <c r="P3" s="596"/>
      <c r="Q3" s="596"/>
      <c r="R3" s="596"/>
      <c r="S3" s="594" t="s">
        <v>1324</v>
      </c>
      <c r="T3" s="594"/>
      <c r="U3" s="594" t="s">
        <v>1325</v>
      </c>
      <c r="V3" s="594"/>
      <c r="W3" s="594"/>
      <c r="X3" s="594"/>
      <c r="Z3" s="597" t="s">
        <v>217</v>
      </c>
      <c r="AA3" s="598" t="s">
        <v>219</v>
      </c>
      <c r="AB3" s="591" t="s">
        <v>175</v>
      </c>
      <c r="AC3" s="599" t="n">
        <v>0</v>
      </c>
      <c r="AD3" s="599" t="s">
        <v>1326</v>
      </c>
      <c r="AE3" s="600" t="s">
        <v>1327</v>
      </c>
    </row>
    <row r="4" customFormat="false" ht="12.75" hidden="false" customHeight="false" outlineLevel="0" collapsed="false">
      <c r="B4" s="601" t="s">
        <v>341</v>
      </c>
      <c r="C4" s="602" t="s">
        <v>1328</v>
      </c>
      <c r="E4" s="594" t="s">
        <v>34</v>
      </c>
      <c r="F4" s="594" t="s">
        <v>951</v>
      </c>
      <c r="G4" s="596" t="s">
        <v>952</v>
      </c>
      <c r="H4" s="596" t="s">
        <v>953</v>
      </c>
      <c r="I4" s="596" t="s">
        <v>954</v>
      </c>
      <c r="J4" s="596" t="s">
        <v>955</v>
      </c>
      <c r="K4" s="596" t="s">
        <v>956</v>
      </c>
      <c r="L4" s="603" t="s">
        <v>957</v>
      </c>
      <c r="M4" s="603" t="s">
        <v>958</v>
      </c>
      <c r="N4" s="603" t="s">
        <v>163</v>
      </c>
      <c r="O4" s="594" t="s">
        <v>959</v>
      </c>
      <c r="P4" s="594" t="s">
        <v>155</v>
      </c>
      <c r="Q4" s="594" t="s">
        <v>960</v>
      </c>
      <c r="R4" s="594" t="s">
        <v>961</v>
      </c>
      <c r="S4" s="594" t="s">
        <v>181</v>
      </c>
      <c r="T4" s="594" t="s">
        <v>962</v>
      </c>
      <c r="U4" s="594" t="s">
        <v>963</v>
      </c>
      <c r="V4" s="594" t="s">
        <v>964</v>
      </c>
      <c r="W4" s="594" t="s">
        <v>965</v>
      </c>
      <c r="X4" s="594" t="s">
        <v>966</v>
      </c>
      <c r="Z4" s="603" t="s">
        <v>220</v>
      </c>
      <c r="AA4" s="603"/>
      <c r="AB4" s="604" t="s">
        <v>1329</v>
      </c>
      <c r="AC4" s="599" t="n">
        <v>1</v>
      </c>
      <c r="AD4" s="599" t="s">
        <v>1330</v>
      </c>
      <c r="AE4" s="605" t="s">
        <v>1331</v>
      </c>
    </row>
    <row r="5" customFormat="false" ht="12.75" hidden="false" customHeight="false" outlineLevel="0" collapsed="false">
      <c r="B5" s="597" t="n">
        <v>0</v>
      </c>
      <c r="C5" s="340" t="s">
        <v>345</v>
      </c>
      <c r="E5" s="600" t="s">
        <v>1327</v>
      </c>
      <c r="F5" s="606" t="n">
        <v>10</v>
      </c>
      <c r="G5" s="606" t="n">
        <v>12</v>
      </c>
      <c r="H5" s="606" t="n">
        <v>13</v>
      </c>
      <c r="I5" s="606" t="n">
        <v>10</v>
      </c>
      <c r="J5" s="606" t="n">
        <v>10</v>
      </c>
      <c r="K5" s="606" t="n">
        <v>8</v>
      </c>
      <c r="L5" s="606" t="n">
        <v>5</v>
      </c>
      <c r="M5" s="607" t="s">
        <v>1332</v>
      </c>
      <c r="N5" s="600" t="s">
        <v>1327</v>
      </c>
      <c r="O5" s="606" t="s">
        <v>1333</v>
      </c>
      <c r="P5" s="606" t="n">
        <v>10</v>
      </c>
      <c r="Q5" s="606" t="n">
        <v>0</v>
      </c>
      <c r="R5" s="606" t="s">
        <v>1334</v>
      </c>
      <c r="S5" s="606" t="n">
        <v>1</v>
      </c>
      <c r="T5" s="606" t="n">
        <v>1</v>
      </c>
      <c r="U5" s="606" t="n">
        <v>3</v>
      </c>
      <c r="V5" s="606" t="n">
        <v>5</v>
      </c>
      <c r="W5" s="606" t="n">
        <v>1</v>
      </c>
      <c r="X5" s="606" t="n">
        <v>4</v>
      </c>
      <c r="AC5" s="599" t="n">
        <v>2</v>
      </c>
      <c r="AD5" s="599" t="s">
        <v>1335</v>
      </c>
      <c r="AE5" s="605" t="s">
        <v>168</v>
      </c>
    </row>
    <row r="6" customFormat="false" ht="12.75" hidden="false" customHeight="false" outlineLevel="0" collapsed="false">
      <c r="B6" s="608" t="n">
        <v>1</v>
      </c>
      <c r="C6" s="609" t="s">
        <v>1336</v>
      </c>
      <c r="E6" s="605" t="s">
        <v>1331</v>
      </c>
      <c r="F6" s="597" t="n">
        <v>12</v>
      </c>
      <c r="G6" s="597" t="n">
        <v>10</v>
      </c>
      <c r="H6" s="597" t="n">
        <v>8</v>
      </c>
      <c r="I6" s="597" t="n">
        <v>11</v>
      </c>
      <c r="J6" s="597" t="n">
        <v>11</v>
      </c>
      <c r="K6" s="597" t="n">
        <v>11</v>
      </c>
      <c r="L6" s="597" t="n">
        <v>7</v>
      </c>
      <c r="M6" s="599" t="s">
        <v>1337</v>
      </c>
      <c r="N6" s="605" t="s">
        <v>1331</v>
      </c>
      <c r="O6" s="597" t="s">
        <v>1333</v>
      </c>
      <c r="P6" s="597" t="n">
        <v>10</v>
      </c>
      <c r="Q6" s="597" t="n">
        <v>0</v>
      </c>
      <c r="R6" s="597" t="s">
        <v>1334</v>
      </c>
      <c r="S6" s="597" t="n">
        <v>1</v>
      </c>
      <c r="T6" s="597" t="n">
        <v>1</v>
      </c>
      <c r="U6" s="597" t="n">
        <v>3</v>
      </c>
      <c r="V6" s="597" t="n">
        <v>6</v>
      </c>
      <c r="W6" s="597" t="n">
        <v>1</v>
      </c>
      <c r="X6" s="597" t="n">
        <v>6</v>
      </c>
      <c r="AC6" s="599" t="n">
        <v>3</v>
      </c>
      <c r="AD6" s="599" t="s">
        <v>1338</v>
      </c>
      <c r="AE6" s="605" t="s">
        <v>515</v>
      </c>
    </row>
    <row r="7" customFormat="false" ht="12.75" hidden="false" customHeight="false" outlineLevel="0" collapsed="false">
      <c r="B7" s="608" t="n">
        <v>2</v>
      </c>
      <c r="C7" s="609" t="s">
        <v>1339</v>
      </c>
      <c r="E7" s="605" t="s">
        <v>168</v>
      </c>
      <c r="F7" s="597" t="n">
        <v>11</v>
      </c>
      <c r="G7" s="597" t="n">
        <v>9</v>
      </c>
      <c r="H7" s="597" t="n">
        <v>10</v>
      </c>
      <c r="I7" s="597" t="n">
        <v>10</v>
      </c>
      <c r="J7" s="597" t="n">
        <v>10</v>
      </c>
      <c r="K7" s="597" t="n">
        <v>10</v>
      </c>
      <c r="L7" s="597" t="n">
        <v>6</v>
      </c>
      <c r="M7" s="599" t="s">
        <v>1340</v>
      </c>
      <c r="N7" s="605" t="s">
        <v>168</v>
      </c>
      <c r="O7" s="597" t="s">
        <v>1333</v>
      </c>
      <c r="P7" s="597" t="n">
        <v>10</v>
      </c>
      <c r="Q7" s="597" t="n">
        <v>0</v>
      </c>
      <c r="R7" s="597" t="s">
        <v>1341</v>
      </c>
      <c r="S7" s="597" t="n">
        <v>1</v>
      </c>
      <c r="T7" s="597" t="n">
        <v>1</v>
      </c>
      <c r="U7" s="597" t="n">
        <v>3</v>
      </c>
      <c r="V7" s="597" t="n">
        <v>6</v>
      </c>
      <c r="W7" s="597" t="n">
        <v>1</v>
      </c>
      <c r="X7" s="597" t="n">
        <v>6</v>
      </c>
      <c r="AC7" s="599" t="n">
        <v>4</v>
      </c>
      <c r="AD7" s="599" t="s">
        <v>1342</v>
      </c>
      <c r="AE7" s="605" t="s">
        <v>1343</v>
      </c>
    </row>
    <row r="8" customFormat="false" ht="12.75" hidden="false" customHeight="false" outlineLevel="0" collapsed="false">
      <c r="B8" s="608" t="n">
        <v>3</v>
      </c>
      <c r="C8" s="609" t="s">
        <v>1344</v>
      </c>
      <c r="E8" s="605" t="s">
        <v>515</v>
      </c>
      <c r="F8" s="597" t="n">
        <v>8</v>
      </c>
      <c r="G8" s="597" t="n">
        <v>18</v>
      </c>
      <c r="H8" s="597" t="n">
        <v>13</v>
      </c>
      <c r="I8" s="597" t="n">
        <v>9</v>
      </c>
      <c r="J8" s="597" t="n">
        <v>10</v>
      </c>
      <c r="K8" s="597" t="n">
        <v>9</v>
      </c>
      <c r="L8" s="597" t="n">
        <v>5</v>
      </c>
      <c r="M8" s="599" t="s">
        <v>1345</v>
      </c>
      <c r="N8" s="605" t="s">
        <v>515</v>
      </c>
      <c r="O8" s="597" t="s">
        <v>1333</v>
      </c>
      <c r="P8" s="597" t="n">
        <v>10</v>
      </c>
      <c r="Q8" s="597" t="n">
        <v>0</v>
      </c>
      <c r="R8" s="597" t="s">
        <v>1346</v>
      </c>
      <c r="S8" s="597" t="n">
        <v>1</v>
      </c>
      <c r="T8" s="597" t="n">
        <v>1</v>
      </c>
      <c r="U8" s="597" t="n">
        <v>4</v>
      </c>
      <c r="V8" s="597" t="n">
        <v>7</v>
      </c>
      <c r="W8" s="597" t="n">
        <v>2</v>
      </c>
      <c r="X8" s="597" t="n">
        <v>6</v>
      </c>
      <c r="AC8" s="599" t="n">
        <v>5</v>
      </c>
      <c r="AD8" s="599" t="s">
        <v>1347</v>
      </c>
      <c r="AE8" s="605" t="s">
        <v>524</v>
      </c>
    </row>
    <row r="9" customFormat="false" ht="12.75" hidden="false" customHeight="false" outlineLevel="0" collapsed="false">
      <c r="B9" s="608" t="n">
        <v>4</v>
      </c>
      <c r="C9" s="609" t="s">
        <v>1333</v>
      </c>
      <c r="E9" s="605" t="s">
        <v>1343</v>
      </c>
      <c r="F9" s="597" t="n">
        <v>10</v>
      </c>
      <c r="G9" s="597" t="n">
        <v>13</v>
      </c>
      <c r="H9" s="597" t="n">
        <v>11</v>
      </c>
      <c r="I9" s="597" t="n">
        <v>10</v>
      </c>
      <c r="J9" s="597" t="n">
        <v>8</v>
      </c>
      <c r="K9" s="597" t="n">
        <v>9</v>
      </c>
      <c r="L9" s="597" t="n">
        <v>6</v>
      </c>
      <c r="M9" s="599" t="s">
        <v>1348</v>
      </c>
      <c r="N9" s="605" t="s">
        <v>1343</v>
      </c>
      <c r="O9" s="597" t="s">
        <v>1333</v>
      </c>
      <c r="P9" s="597" t="n">
        <v>10</v>
      </c>
      <c r="Q9" s="597" t="n">
        <v>0</v>
      </c>
      <c r="R9" s="597" t="s">
        <v>1341</v>
      </c>
      <c r="S9" s="597" t="n">
        <v>1</v>
      </c>
      <c r="T9" s="597" t="n">
        <v>1</v>
      </c>
      <c r="U9" s="597" t="n">
        <v>3</v>
      </c>
      <c r="V9" s="597" t="n">
        <v>6</v>
      </c>
      <c r="W9" s="597" t="n">
        <v>1</v>
      </c>
      <c r="X9" s="597" t="n">
        <v>6</v>
      </c>
      <c r="AC9" s="599" t="n">
        <v>6</v>
      </c>
      <c r="AD9" s="599" t="s">
        <v>1349</v>
      </c>
      <c r="AE9" s="605" t="s">
        <v>521</v>
      </c>
    </row>
    <row r="10" customFormat="false" ht="12.75" hidden="false" customHeight="false" outlineLevel="0" collapsed="false">
      <c r="B10" s="608" t="n">
        <v>5</v>
      </c>
      <c r="C10" s="609" t="s">
        <v>1350</v>
      </c>
      <c r="E10" s="605" t="s">
        <v>524</v>
      </c>
      <c r="F10" s="597" t="n">
        <v>10</v>
      </c>
      <c r="G10" s="597" t="n">
        <v>14</v>
      </c>
      <c r="H10" s="597" t="n">
        <v>12</v>
      </c>
      <c r="I10" s="597" t="n">
        <v>9</v>
      </c>
      <c r="J10" s="597" t="n">
        <v>11</v>
      </c>
      <c r="K10" s="597" t="n">
        <v>10</v>
      </c>
      <c r="L10" s="597" t="n">
        <v>7</v>
      </c>
      <c r="M10" s="599" t="s">
        <v>1332</v>
      </c>
      <c r="N10" s="605" t="s">
        <v>524</v>
      </c>
      <c r="O10" s="597" t="s">
        <v>1333</v>
      </c>
      <c r="P10" s="597" t="n">
        <v>10</v>
      </c>
      <c r="Q10" s="597" t="n">
        <v>0</v>
      </c>
      <c r="R10" s="597" t="s">
        <v>1346</v>
      </c>
      <c r="S10" s="597" t="n">
        <v>1.25</v>
      </c>
      <c r="T10" s="597" t="n">
        <v>1.1</v>
      </c>
      <c r="U10" s="597" t="n">
        <v>4</v>
      </c>
      <c r="V10" s="597" t="n">
        <v>7</v>
      </c>
      <c r="W10" s="597" t="n">
        <v>2</v>
      </c>
      <c r="X10" s="597" t="n">
        <v>6</v>
      </c>
      <c r="AC10" s="599" t="n">
        <v>7</v>
      </c>
      <c r="AD10" s="599" t="s">
        <v>1351</v>
      </c>
      <c r="AE10" s="605" t="s">
        <v>527</v>
      </c>
    </row>
    <row r="11" customFormat="false" ht="12.75" hidden="false" customHeight="false" outlineLevel="0" collapsed="false">
      <c r="B11" s="608" t="n">
        <v>6</v>
      </c>
      <c r="C11" s="609" t="s">
        <v>1352</v>
      </c>
      <c r="E11" s="605" t="s">
        <v>521</v>
      </c>
      <c r="F11" s="597" t="n">
        <v>11</v>
      </c>
      <c r="G11" s="597" t="n">
        <v>10</v>
      </c>
      <c r="H11" s="597" t="n">
        <v>11</v>
      </c>
      <c r="I11" s="597" t="n">
        <v>10</v>
      </c>
      <c r="J11" s="597" t="n">
        <v>10</v>
      </c>
      <c r="K11" s="597" t="n">
        <v>11</v>
      </c>
      <c r="L11" s="597" t="n">
        <v>6</v>
      </c>
      <c r="M11" s="599" t="s">
        <v>1353</v>
      </c>
      <c r="N11" s="605" t="s">
        <v>521</v>
      </c>
      <c r="O11" s="597" t="s">
        <v>1333</v>
      </c>
      <c r="P11" s="597" t="n">
        <v>10</v>
      </c>
      <c r="Q11" s="597" t="n">
        <v>0</v>
      </c>
      <c r="R11" s="597" t="s">
        <v>1334</v>
      </c>
      <c r="S11" s="597" t="n">
        <v>1</v>
      </c>
      <c r="T11" s="597" t="n">
        <v>1.1</v>
      </c>
      <c r="U11" s="597" t="n">
        <v>3</v>
      </c>
      <c r="V11" s="597" t="n">
        <v>6</v>
      </c>
      <c r="W11" s="597" t="n">
        <v>1</v>
      </c>
      <c r="X11" s="597" t="n">
        <v>6</v>
      </c>
      <c r="AC11" s="599" t="n">
        <v>8</v>
      </c>
      <c r="AD11" s="599" t="s">
        <v>1354</v>
      </c>
      <c r="AE11" s="605"/>
    </row>
    <row r="12" customFormat="false" ht="12.75" hidden="false" customHeight="false" outlineLevel="0" collapsed="false">
      <c r="B12" s="608" t="n">
        <v>7</v>
      </c>
      <c r="C12" s="609" t="s">
        <v>1355</v>
      </c>
      <c r="E12" s="605" t="s">
        <v>527</v>
      </c>
      <c r="F12" s="597" t="n">
        <v>11</v>
      </c>
      <c r="G12" s="597" t="n">
        <v>4</v>
      </c>
      <c r="H12" s="597" t="n">
        <v>8</v>
      </c>
      <c r="I12" s="597" t="n">
        <v>11</v>
      </c>
      <c r="J12" s="597" t="n">
        <v>10</v>
      </c>
      <c r="K12" s="597" t="n">
        <v>12</v>
      </c>
      <c r="L12" s="597" t="n">
        <v>3</v>
      </c>
      <c r="M12" s="599" t="s">
        <v>1356</v>
      </c>
      <c r="N12" s="605" t="s">
        <v>527</v>
      </c>
      <c r="O12" s="597" t="s">
        <v>1333</v>
      </c>
      <c r="P12" s="597" t="n">
        <v>10</v>
      </c>
      <c r="Q12" s="597" t="n">
        <v>0</v>
      </c>
      <c r="R12" s="597" t="s">
        <v>1357</v>
      </c>
      <c r="S12" s="597" t="n">
        <v>0.2</v>
      </c>
      <c r="T12" s="597" t="n">
        <v>1.1</v>
      </c>
      <c r="U12" s="597" t="n">
        <v>1</v>
      </c>
      <c r="V12" s="597" t="n">
        <v>2</v>
      </c>
      <c r="W12" s="597" t="n">
        <v>1</v>
      </c>
      <c r="X12" s="597" t="n">
        <v>2</v>
      </c>
      <c r="AC12" s="599" t="n">
        <v>9</v>
      </c>
      <c r="AD12" s="599" t="s">
        <v>986</v>
      </c>
      <c r="AE12" s="605"/>
    </row>
    <row r="13" customFormat="false" ht="12.75" hidden="false" customHeight="false" outlineLevel="0" collapsed="false">
      <c r="B13" s="608" t="n">
        <v>8</v>
      </c>
      <c r="C13" s="609" t="s">
        <v>1358</v>
      </c>
      <c r="E13" s="604"/>
      <c r="F13" s="604"/>
      <c r="G13" s="604"/>
      <c r="H13" s="604"/>
      <c r="I13" s="604"/>
      <c r="J13" s="604"/>
      <c r="K13" s="604"/>
      <c r="L13" s="604"/>
      <c r="M13" s="610"/>
      <c r="N13" s="611"/>
      <c r="O13" s="604"/>
      <c r="P13" s="604"/>
      <c r="Q13" s="604"/>
      <c r="R13" s="604"/>
      <c r="S13" s="604"/>
      <c r="T13" s="604"/>
      <c r="U13" s="604"/>
      <c r="V13" s="604"/>
      <c r="W13" s="604"/>
      <c r="X13" s="604"/>
      <c r="AC13" s="599" t="n">
        <v>10</v>
      </c>
      <c r="AD13" s="599" t="s">
        <v>1359</v>
      </c>
      <c r="AE13" s="605"/>
    </row>
    <row r="14" customFormat="false" ht="12.75" hidden="false" customHeight="false" outlineLevel="0" collapsed="false">
      <c r="B14" s="608" t="n">
        <v>9</v>
      </c>
      <c r="C14" s="609" t="s">
        <v>1360</v>
      </c>
      <c r="O14" s="42"/>
      <c r="P14" s="42"/>
      <c r="Q14" s="42"/>
      <c r="R14" s="42"/>
      <c r="AC14" s="599" t="n">
        <v>11</v>
      </c>
      <c r="AD14" s="599" t="s">
        <v>990</v>
      </c>
      <c r="AE14" s="605"/>
    </row>
    <row r="15" customFormat="false" ht="12.75" hidden="false" customHeight="false" outlineLevel="0" collapsed="false">
      <c r="B15" s="608" t="n">
        <v>10</v>
      </c>
      <c r="C15" s="609" t="s">
        <v>1361</v>
      </c>
      <c r="AC15" s="599" t="n">
        <v>12</v>
      </c>
      <c r="AD15" s="599" t="s">
        <v>1362</v>
      </c>
      <c r="AE15" s="605"/>
    </row>
    <row r="16" customFormat="false" ht="12.75" hidden="false" customHeight="false" outlineLevel="0" collapsed="false">
      <c r="B16" s="608" t="n">
        <v>11</v>
      </c>
      <c r="C16" s="609" t="s">
        <v>1363</v>
      </c>
      <c r="E16" s="594" t="s">
        <v>1364</v>
      </c>
      <c r="F16" s="594"/>
      <c r="G16" s="594"/>
      <c r="H16" s="594"/>
      <c r="I16" s="594"/>
      <c r="J16" s="594"/>
      <c r="K16" s="594"/>
      <c r="L16" s="594"/>
      <c r="M16" s="594"/>
      <c r="N16" s="594"/>
      <c r="O16" s="594"/>
      <c r="Q16" s="612" t="s">
        <v>1365</v>
      </c>
      <c r="R16" s="612"/>
      <c r="U16" s="612" t="s">
        <v>1366</v>
      </c>
      <c r="V16" s="612"/>
      <c r="W16" s="612"/>
      <c r="X16" s="612"/>
      <c r="Y16" s="594" t="s">
        <v>1367</v>
      </c>
      <c r="Z16" s="594"/>
      <c r="AA16" s="613" t="s">
        <v>1368</v>
      </c>
      <c r="AB16" s="614" t="s">
        <v>1369</v>
      </c>
      <c r="AC16" s="599" t="n">
        <v>13</v>
      </c>
      <c r="AD16" s="599" t="s">
        <v>1370</v>
      </c>
      <c r="AE16" s="605"/>
    </row>
    <row r="17" customFormat="false" ht="12.75" hidden="false" customHeight="false" outlineLevel="0" collapsed="false">
      <c r="B17" s="608" t="n">
        <v>12</v>
      </c>
      <c r="C17" s="609" t="s">
        <v>1371</v>
      </c>
      <c r="E17" s="613"/>
      <c r="F17" s="615"/>
      <c r="G17" s="616" t="s">
        <v>1372</v>
      </c>
      <c r="H17" s="616"/>
      <c r="I17" s="594" t="s">
        <v>1373</v>
      </c>
      <c r="J17" s="594"/>
      <c r="K17" s="617" t="s">
        <v>974</v>
      </c>
      <c r="L17" s="617" t="s">
        <v>1374</v>
      </c>
      <c r="M17" s="617" t="s">
        <v>1022</v>
      </c>
      <c r="N17" s="617" t="s">
        <v>992</v>
      </c>
      <c r="O17" s="617" t="s">
        <v>494</v>
      </c>
      <c r="Q17" s="594" t="s">
        <v>158</v>
      </c>
      <c r="R17" s="596" t="s">
        <v>1375</v>
      </c>
      <c r="T17" s="594" t="s">
        <v>1376</v>
      </c>
      <c r="U17" s="596" t="s">
        <v>1377</v>
      </c>
      <c r="V17" s="618" t="s">
        <v>1378</v>
      </c>
      <c r="W17" s="594" t="s">
        <v>1379</v>
      </c>
      <c r="X17" s="596" t="s">
        <v>1380</v>
      </c>
      <c r="Y17" s="619" t="s">
        <v>946</v>
      </c>
      <c r="Z17" s="620" t="s">
        <v>945</v>
      </c>
      <c r="AA17" s="603" t="s">
        <v>1065</v>
      </c>
      <c r="AB17" s="603" t="s">
        <v>160</v>
      </c>
      <c r="AC17" s="599" t="n">
        <v>14</v>
      </c>
      <c r="AD17" s="599" t="s">
        <v>996</v>
      </c>
      <c r="AE17" s="605"/>
    </row>
    <row r="18" customFormat="false" ht="12.75" hidden="false" customHeight="false" outlineLevel="0" collapsed="false">
      <c r="B18" s="608" t="n">
        <v>13</v>
      </c>
      <c r="C18" s="609" t="s">
        <v>1381</v>
      </c>
      <c r="E18" s="603" t="s">
        <v>158</v>
      </c>
      <c r="F18" s="621" t="s">
        <v>1382</v>
      </c>
      <c r="G18" s="622" t="s">
        <v>1383</v>
      </c>
      <c r="H18" s="622" t="s">
        <v>1384</v>
      </c>
      <c r="I18" s="621" t="s">
        <v>335</v>
      </c>
      <c r="J18" s="621" t="s">
        <v>1385</v>
      </c>
      <c r="K18" s="621" t="s">
        <v>1386</v>
      </c>
      <c r="L18" s="621" t="s">
        <v>1386</v>
      </c>
      <c r="M18" s="621" t="s">
        <v>1387</v>
      </c>
      <c r="N18" s="621" t="s">
        <v>1388</v>
      </c>
      <c r="O18" s="621" t="s">
        <v>1122</v>
      </c>
      <c r="Q18" s="606" t="n">
        <v>-2</v>
      </c>
      <c r="R18" s="623" t="n">
        <v>-2</v>
      </c>
      <c r="T18" s="606" t="n">
        <v>0</v>
      </c>
      <c r="U18" s="623" t="n">
        <v>0</v>
      </c>
      <c r="V18" s="623" t="n">
        <v>0</v>
      </c>
      <c r="W18" s="623" t="n">
        <v>0</v>
      </c>
      <c r="X18" s="623" t="n">
        <v>0</v>
      </c>
      <c r="Y18" s="591" t="s">
        <v>1389</v>
      </c>
      <c r="Z18" s="591" t="s">
        <v>1390</v>
      </c>
      <c r="AA18" s="606" t="n">
        <v>0</v>
      </c>
      <c r="AB18" s="597" t="n">
        <v>0</v>
      </c>
      <c r="AC18" s="610" t="n">
        <v>15</v>
      </c>
      <c r="AD18" s="599" t="s">
        <v>1391</v>
      </c>
      <c r="AE18" s="605"/>
    </row>
    <row r="19" customFormat="false" ht="12.75" hidden="false" customHeight="false" outlineLevel="0" collapsed="false">
      <c r="B19" s="608" t="n">
        <v>14</v>
      </c>
      <c r="C19" s="609" t="s">
        <v>1392</v>
      </c>
      <c r="E19" s="606" t="n">
        <v>1</v>
      </c>
      <c r="F19" s="623" t="n">
        <v>2</v>
      </c>
      <c r="G19" s="624" t="n">
        <v>12</v>
      </c>
      <c r="H19" s="625" t="n">
        <v>6</v>
      </c>
      <c r="I19" s="623" t="n">
        <v>5</v>
      </c>
      <c r="J19" s="606" t="n">
        <v>10</v>
      </c>
      <c r="K19" s="623" t="n">
        <v>19</v>
      </c>
      <c r="L19" s="623" t="n">
        <v>10</v>
      </c>
      <c r="M19" s="623" t="n">
        <v>3</v>
      </c>
      <c r="N19" s="626" t="s">
        <v>1393</v>
      </c>
      <c r="O19" s="623" t="n">
        <v>0</v>
      </c>
      <c r="Q19" s="597" t="n">
        <v>-1</v>
      </c>
      <c r="R19" s="340" t="n">
        <v>-1</v>
      </c>
      <c r="T19" s="597" t="n">
        <v>1</v>
      </c>
      <c r="U19" s="340" t="n">
        <v>100</v>
      </c>
      <c r="V19" s="340" t="n">
        <v>200</v>
      </c>
      <c r="W19" s="340" t="n">
        <v>300</v>
      </c>
      <c r="X19" s="340" t="n">
        <v>500</v>
      </c>
      <c r="Y19" s="598" t="s">
        <v>1394</v>
      </c>
      <c r="Z19" s="598" t="s">
        <v>985</v>
      </c>
      <c r="AA19" s="597" t="n">
        <v>200</v>
      </c>
      <c r="AB19" s="597" t="n">
        <v>1300</v>
      </c>
      <c r="AD19" s="599" t="s">
        <v>1395</v>
      </c>
      <c r="AE19" s="605"/>
    </row>
    <row r="20" customFormat="false" ht="12.75" hidden="false" customHeight="false" outlineLevel="0" collapsed="false">
      <c r="B20" s="608" t="n">
        <v>15</v>
      </c>
      <c r="C20" s="609" t="s">
        <v>1396</v>
      </c>
      <c r="E20" s="597" t="n">
        <v>2</v>
      </c>
      <c r="F20" s="340" t="n">
        <v>3</v>
      </c>
      <c r="G20" s="627" t="n">
        <v>14</v>
      </c>
      <c r="H20" s="628" t="n">
        <v>7</v>
      </c>
      <c r="I20" s="340" t="n">
        <v>10</v>
      </c>
      <c r="J20" s="597" t="n">
        <v>20</v>
      </c>
      <c r="K20" s="340" t="n">
        <v>20</v>
      </c>
      <c r="L20" s="340" t="n">
        <v>11</v>
      </c>
      <c r="M20" s="340" t="n">
        <v>4</v>
      </c>
      <c r="N20" s="340" t="s">
        <v>1393</v>
      </c>
      <c r="O20" s="340" t="n">
        <v>0</v>
      </c>
      <c r="Q20" s="597" t="n">
        <v>0</v>
      </c>
      <c r="R20" s="340" t="n">
        <v>0</v>
      </c>
      <c r="T20" s="597" t="n">
        <v>2</v>
      </c>
      <c r="U20" s="340" t="n">
        <v>300</v>
      </c>
      <c r="V20" s="340" t="n">
        <v>500</v>
      </c>
      <c r="W20" s="340" t="n">
        <v>800</v>
      </c>
      <c r="X20" s="340" t="n">
        <v>1300</v>
      </c>
      <c r="Y20" s="598" t="s">
        <v>1369</v>
      </c>
      <c r="Z20" s="598" t="s">
        <v>989</v>
      </c>
      <c r="AA20" s="597" t="n">
        <v>500</v>
      </c>
      <c r="AB20" s="597" t="n">
        <v>800</v>
      </c>
      <c r="AD20" s="599" t="s">
        <v>1397</v>
      </c>
      <c r="AE20" s="605"/>
    </row>
    <row r="21" customFormat="false" ht="12.75" hidden="false" customHeight="false" outlineLevel="0" collapsed="false">
      <c r="B21" s="608" t="n">
        <v>16</v>
      </c>
      <c r="C21" s="609" t="s">
        <v>1398</v>
      </c>
      <c r="E21" s="597" t="n">
        <v>3</v>
      </c>
      <c r="F21" s="340" t="n">
        <v>3</v>
      </c>
      <c r="G21" s="627" t="n">
        <v>16</v>
      </c>
      <c r="H21" s="628" t="n">
        <v>8</v>
      </c>
      <c r="I21" s="340" t="n">
        <v>15</v>
      </c>
      <c r="J21" s="597" t="n">
        <v>30</v>
      </c>
      <c r="K21" s="340" t="n">
        <v>22</v>
      </c>
      <c r="L21" s="340" t="n">
        <v>13</v>
      </c>
      <c r="M21" s="340" t="n">
        <v>4</v>
      </c>
      <c r="N21" s="340" t="n">
        <v>1</v>
      </c>
      <c r="O21" s="340" t="n">
        <v>0</v>
      </c>
      <c r="Q21" s="597" t="n">
        <v>1</v>
      </c>
      <c r="R21" s="340" t="n">
        <v>1</v>
      </c>
      <c r="T21" s="597" t="n">
        <v>3</v>
      </c>
      <c r="U21" s="340" t="n">
        <v>600</v>
      </c>
      <c r="V21" s="340" t="n">
        <v>1000</v>
      </c>
      <c r="W21" s="340" t="n">
        <v>1600</v>
      </c>
      <c r="X21" s="340" t="n">
        <v>2600</v>
      </c>
      <c r="Y21" s="598" t="s">
        <v>1399</v>
      </c>
      <c r="Z21" s="598" t="s">
        <v>1400</v>
      </c>
      <c r="AA21" s="597" t="n">
        <v>1000</v>
      </c>
      <c r="AB21" s="597" t="n">
        <v>500</v>
      </c>
      <c r="AD21" s="599" t="s">
        <v>1401</v>
      </c>
      <c r="AE21" s="605"/>
    </row>
    <row r="22" customFormat="false" ht="12.75" hidden="false" customHeight="false" outlineLevel="0" collapsed="false">
      <c r="B22" s="608" t="n">
        <v>17</v>
      </c>
      <c r="C22" s="609" t="s">
        <v>1402</v>
      </c>
      <c r="E22" s="597" t="n">
        <v>4</v>
      </c>
      <c r="F22" s="340" t="n">
        <v>4</v>
      </c>
      <c r="G22" s="627" t="n">
        <v>18</v>
      </c>
      <c r="H22" s="628" t="n">
        <v>9</v>
      </c>
      <c r="I22" s="340" t="n">
        <v>20</v>
      </c>
      <c r="J22" s="597" t="n">
        <v>40</v>
      </c>
      <c r="K22" s="340" t="n">
        <v>23</v>
      </c>
      <c r="L22" s="340" t="n">
        <v>14</v>
      </c>
      <c r="M22" s="340" t="n">
        <v>5</v>
      </c>
      <c r="N22" s="340" t="n">
        <v>1</v>
      </c>
      <c r="O22" s="340" t="n">
        <v>0</v>
      </c>
      <c r="Q22" s="597" t="n">
        <v>2</v>
      </c>
      <c r="R22" s="340" t="n">
        <v>2</v>
      </c>
      <c r="T22" s="597" t="n">
        <v>4</v>
      </c>
      <c r="U22" s="340" t="n">
        <v>1100</v>
      </c>
      <c r="V22" s="340" t="n">
        <v>1800</v>
      </c>
      <c r="W22" s="340" t="n">
        <v>2900</v>
      </c>
      <c r="X22" s="340" t="n">
        <v>4700</v>
      </c>
      <c r="Y22" s="598" t="s">
        <v>1403</v>
      </c>
      <c r="Z22" s="598" t="s">
        <v>1404</v>
      </c>
      <c r="AA22" s="597" t="n">
        <v>1800</v>
      </c>
      <c r="AB22" s="597" t="n">
        <v>300</v>
      </c>
      <c r="AD22" s="599" t="s">
        <v>161</v>
      </c>
      <c r="AE22" s="605"/>
    </row>
    <row r="23" customFormat="false" ht="12.75" hidden="false" customHeight="false" outlineLevel="0" collapsed="false">
      <c r="B23" s="608" t="n">
        <v>18</v>
      </c>
      <c r="C23" s="609" t="s">
        <v>1405</v>
      </c>
      <c r="E23" s="597" t="n">
        <v>5</v>
      </c>
      <c r="F23" s="340" t="n">
        <v>4</v>
      </c>
      <c r="G23" s="627" t="n">
        <v>20</v>
      </c>
      <c r="H23" s="628" t="n">
        <v>10</v>
      </c>
      <c r="I23" s="340" t="n">
        <v>25</v>
      </c>
      <c r="J23" s="597" t="n">
        <v>50</v>
      </c>
      <c r="K23" s="340" t="n">
        <v>24</v>
      </c>
      <c r="L23" s="340" t="n">
        <v>15</v>
      </c>
      <c r="M23" s="340" t="n">
        <v>5</v>
      </c>
      <c r="N23" s="340" t="n">
        <v>1</v>
      </c>
      <c r="O23" s="340" t="n">
        <v>0</v>
      </c>
      <c r="Q23" s="597" t="n">
        <v>3</v>
      </c>
      <c r="R23" s="340" t="n">
        <v>3</v>
      </c>
      <c r="T23" s="597" t="n">
        <v>5</v>
      </c>
      <c r="U23" s="340" t="n">
        <v>1900</v>
      </c>
      <c r="V23" s="340" t="n">
        <v>3100</v>
      </c>
      <c r="W23" s="340" t="n">
        <v>5000</v>
      </c>
      <c r="X23" s="340" t="n">
        <v>8100</v>
      </c>
      <c r="Y23" s="598" t="s">
        <v>1406</v>
      </c>
      <c r="Z23" s="598" t="s">
        <v>1407</v>
      </c>
      <c r="AA23" s="597" t="n">
        <v>3100</v>
      </c>
      <c r="AB23" s="629" t="n">
        <v>200</v>
      </c>
      <c r="AD23" s="599" t="s">
        <v>1005</v>
      </c>
      <c r="AE23" s="630"/>
    </row>
    <row r="24" customFormat="false" ht="12.75" hidden="false" customHeight="false" outlineLevel="0" collapsed="false">
      <c r="B24" s="608" t="n">
        <v>19</v>
      </c>
      <c r="C24" s="609" t="s">
        <v>1408</v>
      </c>
      <c r="E24" s="597" t="n">
        <v>6</v>
      </c>
      <c r="F24" s="340" t="n">
        <v>4</v>
      </c>
      <c r="G24" s="627" t="n">
        <v>24</v>
      </c>
      <c r="H24" s="628" t="n">
        <v>12</v>
      </c>
      <c r="I24" s="340" t="n">
        <v>30</v>
      </c>
      <c r="J24" s="597" t="n">
        <v>60</v>
      </c>
      <c r="K24" s="340" t="n">
        <v>26</v>
      </c>
      <c r="L24" s="340" t="n">
        <v>17</v>
      </c>
      <c r="M24" s="340" t="n">
        <v>6</v>
      </c>
      <c r="N24" s="340" t="n">
        <v>1</v>
      </c>
      <c r="O24" s="340" t="n">
        <v>0</v>
      </c>
      <c r="Q24" s="597" t="n">
        <v>4</v>
      </c>
      <c r="R24" s="340" t="n">
        <v>5</v>
      </c>
      <c r="T24" s="597" t="n">
        <v>6</v>
      </c>
      <c r="U24" s="340" t="n">
        <v>3200</v>
      </c>
      <c r="V24" s="340" t="n">
        <v>5200</v>
      </c>
      <c r="W24" s="340" t="n">
        <v>8400</v>
      </c>
      <c r="X24" s="340" t="n">
        <v>13600</v>
      </c>
      <c r="Y24" s="598" t="s">
        <v>1409</v>
      </c>
      <c r="Z24" s="598" t="s">
        <v>1410</v>
      </c>
      <c r="AA24" s="597" t="n">
        <v>5200</v>
      </c>
      <c r="AD24" s="599" t="s">
        <v>1411</v>
      </c>
    </row>
    <row r="25" customFormat="false" ht="12.75" hidden="false" customHeight="false" outlineLevel="0" collapsed="false">
      <c r="B25" s="608" t="n">
        <v>20</v>
      </c>
      <c r="C25" s="609" t="s">
        <v>1412</v>
      </c>
      <c r="E25" s="597" t="n">
        <v>7</v>
      </c>
      <c r="F25" s="340" t="n">
        <v>5</v>
      </c>
      <c r="G25" s="627" t="n">
        <v>28</v>
      </c>
      <c r="H25" s="628" t="n">
        <v>14</v>
      </c>
      <c r="I25" s="340" t="n">
        <v>40</v>
      </c>
      <c r="J25" s="597" t="n">
        <v>80</v>
      </c>
      <c r="K25" s="340" t="n">
        <v>27</v>
      </c>
      <c r="L25" s="340" t="n">
        <v>18</v>
      </c>
      <c r="M25" s="340" t="n">
        <v>6</v>
      </c>
      <c r="N25" s="340" t="n">
        <v>1</v>
      </c>
      <c r="O25" s="340" t="n">
        <v>0</v>
      </c>
      <c r="Q25" s="597" t="n">
        <v>5</v>
      </c>
      <c r="R25" s="340" t="n">
        <v>7</v>
      </c>
      <c r="T25" s="597" t="n">
        <v>7</v>
      </c>
      <c r="U25" s="340" t="n">
        <v>5300</v>
      </c>
      <c r="V25" s="340" t="n">
        <v>8600</v>
      </c>
      <c r="W25" s="340" t="n">
        <v>13900</v>
      </c>
      <c r="X25" s="340" t="n">
        <v>22500</v>
      </c>
      <c r="Y25" s="598" t="s">
        <v>1413</v>
      </c>
      <c r="Z25" s="598" t="s">
        <v>1414</v>
      </c>
      <c r="AA25" s="597" t="n">
        <v>8600</v>
      </c>
      <c r="AD25" s="599" t="s">
        <v>1415</v>
      </c>
    </row>
    <row r="26" customFormat="false" ht="12.75" hidden="false" customHeight="false" outlineLevel="0" collapsed="false">
      <c r="B26" s="608" t="n">
        <v>21</v>
      </c>
      <c r="C26" s="609" t="s">
        <v>1416</v>
      </c>
      <c r="E26" s="597" t="n">
        <v>8</v>
      </c>
      <c r="F26" s="340" t="n">
        <v>5</v>
      </c>
      <c r="G26" s="627" t="n">
        <v>32</v>
      </c>
      <c r="H26" s="628" t="n">
        <v>16</v>
      </c>
      <c r="I26" s="340" t="n">
        <v>50</v>
      </c>
      <c r="J26" s="597" t="n">
        <v>100</v>
      </c>
      <c r="K26" s="340" t="n">
        <v>28</v>
      </c>
      <c r="L26" s="340" t="n">
        <v>19</v>
      </c>
      <c r="M26" s="340" t="n">
        <v>7</v>
      </c>
      <c r="N26" s="340" t="n">
        <v>2</v>
      </c>
      <c r="O26" s="340" t="n">
        <v>0</v>
      </c>
      <c r="Q26" s="597" t="n">
        <v>6</v>
      </c>
      <c r="R26" s="340" t="n">
        <v>9</v>
      </c>
      <c r="T26" s="597" t="n">
        <v>8</v>
      </c>
      <c r="U26" s="340" t="n">
        <v>8700</v>
      </c>
      <c r="V26" s="340" t="n">
        <v>14100</v>
      </c>
      <c r="W26" s="340" t="n">
        <v>22800</v>
      </c>
      <c r="X26" s="340" t="n">
        <v>36900</v>
      </c>
      <c r="Y26" s="598" t="s">
        <v>1417</v>
      </c>
      <c r="Z26" s="598" t="s">
        <v>1418</v>
      </c>
      <c r="AA26" s="597" t="n">
        <v>14100</v>
      </c>
      <c r="AD26" s="599" t="s">
        <v>1419</v>
      </c>
    </row>
    <row r="27" customFormat="false" ht="12.75" hidden="false" customHeight="false" outlineLevel="0" collapsed="false">
      <c r="B27" s="608" t="n">
        <v>22</v>
      </c>
      <c r="C27" s="609" t="s">
        <v>1420</v>
      </c>
      <c r="E27" s="597" t="n">
        <v>9</v>
      </c>
      <c r="F27" s="340" t="n">
        <v>6</v>
      </c>
      <c r="G27" s="627" t="n">
        <v>36</v>
      </c>
      <c r="H27" s="628" t="n">
        <v>18</v>
      </c>
      <c r="I27" s="340" t="n">
        <v>60</v>
      </c>
      <c r="J27" s="597" t="n">
        <v>120</v>
      </c>
      <c r="K27" s="340" t="n">
        <v>30</v>
      </c>
      <c r="L27" s="340" t="n">
        <v>21</v>
      </c>
      <c r="M27" s="340" t="n">
        <v>7</v>
      </c>
      <c r="N27" s="340" t="n">
        <v>2</v>
      </c>
      <c r="O27" s="340" t="n">
        <v>0</v>
      </c>
      <c r="Q27" s="597" t="n">
        <v>7</v>
      </c>
      <c r="R27" s="340" t="n">
        <v>12</v>
      </c>
      <c r="T27" s="597" t="n">
        <v>9</v>
      </c>
      <c r="U27" s="340" t="n">
        <v>14200</v>
      </c>
      <c r="V27" s="340" t="n">
        <v>23000</v>
      </c>
      <c r="W27" s="340" t="n">
        <v>37200</v>
      </c>
      <c r="X27" s="340" t="n">
        <v>60200</v>
      </c>
      <c r="Y27" s="598" t="s">
        <v>1421</v>
      </c>
      <c r="Z27" s="598" t="s">
        <v>1422</v>
      </c>
      <c r="AA27" s="597" t="n">
        <v>23000</v>
      </c>
      <c r="AD27" s="599" t="s">
        <v>1423</v>
      </c>
    </row>
    <row r="28" customFormat="false" ht="12.75" hidden="false" customHeight="false" outlineLevel="0" collapsed="false">
      <c r="B28" s="608" t="n">
        <v>23</v>
      </c>
      <c r="C28" s="609" t="s">
        <v>1424</v>
      </c>
      <c r="E28" s="597" t="n">
        <v>10</v>
      </c>
      <c r="F28" s="340" t="n">
        <v>6</v>
      </c>
      <c r="G28" s="627" t="n">
        <v>40</v>
      </c>
      <c r="H28" s="628" t="n">
        <v>20</v>
      </c>
      <c r="I28" s="340" t="n">
        <v>70</v>
      </c>
      <c r="J28" s="597" t="n">
        <v>140</v>
      </c>
      <c r="K28" s="340" t="n">
        <v>31</v>
      </c>
      <c r="L28" s="340" t="n">
        <v>22</v>
      </c>
      <c r="M28" s="340" t="n">
        <v>8</v>
      </c>
      <c r="N28" s="340" t="n">
        <v>2</v>
      </c>
      <c r="O28" s="340" t="n">
        <v>0</v>
      </c>
      <c r="Q28" s="597" t="n">
        <v>8</v>
      </c>
      <c r="R28" s="340" t="n">
        <v>15</v>
      </c>
      <c r="T28" s="597" t="n">
        <v>10</v>
      </c>
      <c r="U28" s="340" t="n">
        <v>23100</v>
      </c>
      <c r="V28" s="340" t="n">
        <v>37400</v>
      </c>
      <c r="W28" s="340" t="n">
        <v>60500</v>
      </c>
      <c r="X28" s="340" t="n">
        <v>97900</v>
      </c>
      <c r="Y28" s="598" t="s">
        <v>1425</v>
      </c>
      <c r="Z28" s="598" t="s">
        <v>1426</v>
      </c>
      <c r="AA28" s="629" t="n">
        <v>37400</v>
      </c>
      <c r="AD28" s="599" t="s">
        <v>1427</v>
      </c>
    </row>
    <row r="29" customFormat="false" ht="12.75" hidden="false" customHeight="false" outlineLevel="0" collapsed="false">
      <c r="B29" s="608" t="n">
        <v>24</v>
      </c>
      <c r="C29" s="609" t="s">
        <v>1428</v>
      </c>
      <c r="E29" s="597" t="n">
        <v>11</v>
      </c>
      <c r="F29" s="340" t="n">
        <v>7</v>
      </c>
      <c r="G29" s="627" t="n">
        <v>44</v>
      </c>
      <c r="H29" s="628" t="n">
        <v>22</v>
      </c>
      <c r="I29" s="340" t="n">
        <v>80</v>
      </c>
      <c r="J29" s="597" t="n">
        <v>160</v>
      </c>
      <c r="K29" s="340" t="n">
        <v>32</v>
      </c>
      <c r="L29" s="340" t="n">
        <v>24</v>
      </c>
      <c r="M29" s="340" t="n">
        <v>8</v>
      </c>
      <c r="N29" s="340" t="n">
        <v>2</v>
      </c>
      <c r="O29" s="340" t="n">
        <v>1</v>
      </c>
      <c r="Q29" s="597"/>
      <c r="R29" s="340"/>
      <c r="T29" s="597" t="n">
        <v>11</v>
      </c>
      <c r="U29" s="340" t="n">
        <v>37500</v>
      </c>
      <c r="V29" s="340" t="n">
        <v>60700</v>
      </c>
      <c r="W29" s="340" t="n">
        <v>98200</v>
      </c>
      <c r="X29" s="340" t="n">
        <v>158900</v>
      </c>
      <c r="Y29" s="598" t="s">
        <v>1429</v>
      </c>
      <c r="Z29" s="598" t="s">
        <v>1430</v>
      </c>
      <c r="AD29" s="599" t="s">
        <v>1431</v>
      </c>
    </row>
    <row r="30" customFormat="false" ht="12.75" hidden="false" customHeight="false" outlineLevel="0" collapsed="false">
      <c r="B30" s="608" t="n">
        <v>25</v>
      </c>
      <c r="C30" s="609" t="s">
        <v>1432</v>
      </c>
      <c r="E30" s="597" t="n">
        <v>12</v>
      </c>
      <c r="F30" s="340" t="n">
        <v>7</v>
      </c>
      <c r="G30" s="627" t="n">
        <v>48</v>
      </c>
      <c r="H30" s="628" t="n">
        <v>24</v>
      </c>
      <c r="I30" s="340" t="n">
        <v>95</v>
      </c>
      <c r="J30" s="597" t="n">
        <v>190</v>
      </c>
      <c r="K30" s="340" t="n">
        <v>34</v>
      </c>
      <c r="L30" s="340" t="n">
        <v>26</v>
      </c>
      <c r="M30" s="340" t="n">
        <v>9</v>
      </c>
      <c r="N30" s="340" t="n">
        <v>2</v>
      </c>
      <c r="O30" s="340" t="n">
        <v>1</v>
      </c>
      <c r="Q30" s="597"/>
      <c r="R30" s="340"/>
      <c r="T30" s="597" t="n">
        <v>12</v>
      </c>
      <c r="U30" s="340" t="n">
        <v>60800</v>
      </c>
      <c r="V30" s="340" t="n">
        <v>98400</v>
      </c>
      <c r="W30" s="340" t="n">
        <v>159200</v>
      </c>
      <c r="X30" s="340" t="n">
        <v>257600</v>
      </c>
      <c r="Y30" s="598" t="s">
        <v>1433</v>
      </c>
      <c r="Z30" s="598" t="s">
        <v>1434</v>
      </c>
      <c r="AD30" s="599" t="s">
        <v>1435</v>
      </c>
    </row>
    <row r="31" customFormat="false" ht="12.75" hidden="false" customHeight="false" outlineLevel="0" collapsed="false">
      <c r="B31" s="608" t="n">
        <v>26</v>
      </c>
      <c r="C31" s="609" t="s">
        <v>1436</v>
      </c>
      <c r="E31" s="597" t="n">
        <v>13</v>
      </c>
      <c r="F31" s="340" t="n">
        <v>7</v>
      </c>
      <c r="G31" s="627" t="n">
        <v>52</v>
      </c>
      <c r="H31" s="628" t="n">
        <v>26</v>
      </c>
      <c r="I31" s="340" t="n">
        <v>110</v>
      </c>
      <c r="J31" s="597" t="n">
        <v>220</v>
      </c>
      <c r="K31" s="340" t="n">
        <v>35</v>
      </c>
      <c r="L31" s="340" t="n">
        <v>27</v>
      </c>
      <c r="M31" s="340" t="n">
        <v>9</v>
      </c>
      <c r="N31" s="340" t="n">
        <v>2</v>
      </c>
      <c r="O31" s="340" t="n">
        <v>1</v>
      </c>
      <c r="Q31" s="597"/>
      <c r="R31" s="340"/>
      <c r="T31" s="597" t="n">
        <v>13</v>
      </c>
      <c r="U31" s="340" t="n">
        <v>98500</v>
      </c>
      <c r="V31" s="340" t="n">
        <v>159400</v>
      </c>
      <c r="W31" s="340" t="n">
        <v>257900</v>
      </c>
      <c r="X31" s="340" t="n">
        <v>417300</v>
      </c>
      <c r="Y31" s="598" t="s">
        <v>1437</v>
      </c>
      <c r="Z31" s="598" t="s">
        <v>1438</v>
      </c>
      <c r="AD31" s="599" t="s">
        <v>1439</v>
      </c>
    </row>
    <row r="32" customFormat="false" ht="12.75" hidden="false" customHeight="false" outlineLevel="0" collapsed="false">
      <c r="B32" s="608" t="n">
        <v>27</v>
      </c>
      <c r="C32" s="609" t="s">
        <v>1440</v>
      </c>
      <c r="E32" s="597" t="n">
        <v>14</v>
      </c>
      <c r="F32" s="340" t="n">
        <v>8</v>
      </c>
      <c r="G32" s="627" t="n">
        <v>56</v>
      </c>
      <c r="H32" s="628" t="n">
        <v>28</v>
      </c>
      <c r="I32" s="340" t="n">
        <v>125</v>
      </c>
      <c r="J32" s="597" t="n">
        <v>250</v>
      </c>
      <c r="K32" s="340" t="n">
        <v>36</v>
      </c>
      <c r="L32" s="340" t="n">
        <v>28</v>
      </c>
      <c r="M32" s="340" t="n">
        <v>10</v>
      </c>
      <c r="N32" s="340" t="n">
        <v>3</v>
      </c>
      <c r="O32" s="340" t="n">
        <v>2</v>
      </c>
      <c r="Q32" s="597"/>
      <c r="R32" s="340"/>
      <c r="T32" s="597" t="n">
        <v>14</v>
      </c>
      <c r="U32" s="340" t="n">
        <v>159500</v>
      </c>
      <c r="V32" s="340" t="n">
        <v>258100</v>
      </c>
      <c r="W32" s="340" t="n">
        <v>417600</v>
      </c>
      <c r="X32" s="340" t="n">
        <v>675700</v>
      </c>
      <c r="Y32" s="598" t="s">
        <v>1441</v>
      </c>
      <c r="Z32" s="598" t="s">
        <v>1442</v>
      </c>
      <c r="AD32" s="599" t="s">
        <v>173</v>
      </c>
    </row>
    <row r="33" customFormat="false" ht="12.75" hidden="false" customHeight="false" outlineLevel="0" collapsed="false">
      <c r="B33" s="608" t="n">
        <v>28</v>
      </c>
      <c r="C33" s="609" t="s">
        <v>1443</v>
      </c>
      <c r="E33" s="597" t="n">
        <v>15</v>
      </c>
      <c r="F33" s="340" t="n">
        <v>8</v>
      </c>
      <c r="G33" s="627" t="n">
        <v>60</v>
      </c>
      <c r="H33" s="628" t="n">
        <v>30</v>
      </c>
      <c r="I33" s="340" t="n">
        <v>140</v>
      </c>
      <c r="J33" s="597" t="n">
        <v>280</v>
      </c>
      <c r="K33" s="340" t="n">
        <v>38</v>
      </c>
      <c r="L33" s="340" t="n">
        <v>30</v>
      </c>
      <c r="M33" s="340" t="n">
        <v>10</v>
      </c>
      <c r="N33" s="340" t="n">
        <v>3</v>
      </c>
      <c r="O33" s="340" t="n">
        <v>2</v>
      </c>
      <c r="Q33" s="597"/>
      <c r="R33" s="340"/>
      <c r="T33" s="629" t="n">
        <v>15</v>
      </c>
      <c r="U33" s="631" t="n">
        <v>258200</v>
      </c>
      <c r="V33" s="631" t="n">
        <v>417800</v>
      </c>
      <c r="W33" s="631" t="n">
        <v>676000</v>
      </c>
      <c r="X33" s="631" t="n">
        <v>1093800</v>
      </c>
      <c r="Y33" s="604" t="s">
        <v>1444</v>
      </c>
      <c r="Z33" s="604" t="s">
        <v>1445</v>
      </c>
      <c r="AD33" s="599" t="s">
        <v>1446</v>
      </c>
    </row>
    <row r="34" customFormat="false" ht="12.75" hidden="false" customHeight="false" outlineLevel="0" collapsed="false">
      <c r="B34" s="608" t="n">
        <v>29</v>
      </c>
      <c r="C34" s="609" t="s">
        <v>1447</v>
      </c>
      <c r="E34" s="597" t="n">
        <v>16</v>
      </c>
      <c r="F34" s="340" t="n">
        <v>9</v>
      </c>
      <c r="G34" s="627" t="n">
        <v>64</v>
      </c>
      <c r="H34" s="628" t="n">
        <v>32</v>
      </c>
      <c r="I34" s="340" t="n">
        <v>160</v>
      </c>
      <c r="J34" s="597" t="n">
        <v>320</v>
      </c>
      <c r="K34" s="340" t="n">
        <v>39</v>
      </c>
      <c r="L34" s="340" t="n">
        <v>31</v>
      </c>
      <c r="M34" s="340" t="n">
        <v>11</v>
      </c>
      <c r="N34" s="340" t="n">
        <v>3</v>
      </c>
      <c r="O34" s="340" t="n">
        <v>2</v>
      </c>
      <c r="Q34" s="629"/>
      <c r="R34" s="631"/>
      <c r="AD34" s="599" t="s">
        <v>1448</v>
      </c>
    </row>
    <row r="35" customFormat="false" ht="12.75" hidden="false" customHeight="false" outlineLevel="0" collapsed="false">
      <c r="B35" s="608" t="n">
        <v>30</v>
      </c>
      <c r="C35" s="609" t="s">
        <v>1449</v>
      </c>
      <c r="E35" s="597" t="n">
        <v>17</v>
      </c>
      <c r="F35" s="340" t="n">
        <v>9</v>
      </c>
      <c r="G35" s="627" t="n">
        <v>68</v>
      </c>
      <c r="H35" s="628" t="n">
        <v>34</v>
      </c>
      <c r="I35" s="340" t="n">
        <v>180</v>
      </c>
      <c r="J35" s="597" t="n">
        <v>360</v>
      </c>
      <c r="K35" s="340" t="n">
        <v>40</v>
      </c>
      <c r="L35" s="340" t="n">
        <v>32</v>
      </c>
      <c r="M35" s="340" t="n">
        <v>11</v>
      </c>
      <c r="N35" s="340" t="n">
        <v>3</v>
      </c>
      <c r="O35" s="340" t="n">
        <v>3</v>
      </c>
      <c r="T35" s="612" t="s">
        <v>1450</v>
      </c>
      <c r="U35" s="612"/>
      <c r="AD35" s="599" t="s">
        <v>1451</v>
      </c>
    </row>
    <row r="36" customFormat="false" ht="12.75" hidden="false" customHeight="false" outlineLevel="0" collapsed="false">
      <c r="B36" s="608" t="n">
        <v>31</v>
      </c>
      <c r="C36" s="609" t="s">
        <v>1452</v>
      </c>
      <c r="E36" s="597" t="n">
        <v>18</v>
      </c>
      <c r="F36" s="340" t="n">
        <v>10</v>
      </c>
      <c r="G36" s="627" t="n">
        <v>72</v>
      </c>
      <c r="H36" s="628" t="n">
        <v>36</v>
      </c>
      <c r="I36" s="340" t="n">
        <v>200</v>
      </c>
      <c r="J36" s="597" t="n">
        <v>400</v>
      </c>
      <c r="K36" s="340" t="n">
        <v>42</v>
      </c>
      <c r="L36" s="340" t="n">
        <v>34</v>
      </c>
      <c r="M36" s="340" t="n">
        <v>12</v>
      </c>
      <c r="N36" s="340" t="n">
        <v>3</v>
      </c>
      <c r="O36" s="340" t="n">
        <v>3</v>
      </c>
      <c r="Q36" s="612" t="s">
        <v>1453</v>
      </c>
      <c r="R36" s="612"/>
      <c r="T36" s="594" t="s">
        <v>1454</v>
      </c>
      <c r="U36" s="594" t="s">
        <v>1376</v>
      </c>
      <c r="AD36" s="599" t="s">
        <v>1455</v>
      </c>
    </row>
    <row r="37" customFormat="false" ht="12.75" hidden="false" customHeight="false" outlineLevel="0" collapsed="false">
      <c r="B37" s="608" t="n">
        <v>32</v>
      </c>
      <c r="C37" s="609" t="s">
        <v>1456</v>
      </c>
      <c r="E37" s="597" t="n">
        <v>19</v>
      </c>
      <c r="F37" s="340" t="n">
        <v>10</v>
      </c>
      <c r="G37" s="627" t="n">
        <v>76</v>
      </c>
      <c r="H37" s="628" t="n">
        <v>38</v>
      </c>
      <c r="I37" s="340" t="n">
        <v>230</v>
      </c>
      <c r="J37" s="597" t="n">
        <v>460</v>
      </c>
      <c r="K37" s="340" t="n">
        <v>43</v>
      </c>
      <c r="L37" s="340" t="n">
        <v>35</v>
      </c>
      <c r="M37" s="340" t="n">
        <v>12</v>
      </c>
      <c r="N37" s="340" t="n">
        <v>3</v>
      </c>
      <c r="O37" s="340" t="n">
        <v>3</v>
      </c>
      <c r="Q37" s="594" t="s">
        <v>1457</v>
      </c>
      <c r="R37" s="594" t="s">
        <v>155</v>
      </c>
      <c r="T37" s="597" t="n">
        <v>0</v>
      </c>
      <c r="U37" s="340" t="n">
        <v>0</v>
      </c>
      <c r="AD37" s="599" t="s">
        <v>1458</v>
      </c>
    </row>
    <row r="38" customFormat="false" ht="12.75" hidden="false" customHeight="false" outlineLevel="0" collapsed="false">
      <c r="B38" s="608" t="n">
        <v>33</v>
      </c>
      <c r="C38" s="609" t="s">
        <v>1459</v>
      </c>
      <c r="E38" s="597" t="n">
        <v>20</v>
      </c>
      <c r="F38" s="340" t="n">
        <v>10</v>
      </c>
      <c r="G38" s="627" t="n">
        <v>80</v>
      </c>
      <c r="H38" s="628" t="n">
        <v>40</v>
      </c>
      <c r="I38" s="340" t="n">
        <v>260</v>
      </c>
      <c r="J38" s="597" t="n">
        <v>520</v>
      </c>
      <c r="K38" s="340" t="n">
        <v>44</v>
      </c>
      <c r="L38" s="340" t="n">
        <v>36</v>
      </c>
      <c r="M38" s="340" t="n">
        <v>13</v>
      </c>
      <c r="N38" s="340" t="n">
        <v>4</v>
      </c>
      <c r="O38" s="340" t="n">
        <v>4</v>
      </c>
      <c r="Q38" s="606" t="n">
        <v>0</v>
      </c>
      <c r="R38" s="606" t="n">
        <v>0</v>
      </c>
      <c r="T38" s="597" t="n">
        <v>10000</v>
      </c>
      <c r="U38" s="340" t="n">
        <v>1</v>
      </c>
      <c r="AD38" s="599" t="s">
        <v>1460</v>
      </c>
    </row>
    <row r="39" customFormat="false" ht="12.75" hidden="false" customHeight="false" outlineLevel="0" collapsed="false">
      <c r="B39" s="608" t="n">
        <v>34</v>
      </c>
      <c r="C39" s="609" t="s">
        <v>1461</v>
      </c>
      <c r="E39" s="597" t="n">
        <v>21</v>
      </c>
      <c r="F39" s="340" t="n">
        <v>11</v>
      </c>
      <c r="G39" s="627" t="n">
        <v>86</v>
      </c>
      <c r="H39" s="628" t="n">
        <v>43</v>
      </c>
      <c r="I39" s="340" t="n">
        <v>290</v>
      </c>
      <c r="J39" s="597" t="n">
        <v>580</v>
      </c>
      <c r="K39" s="340" t="n">
        <v>46</v>
      </c>
      <c r="L39" s="340" t="n">
        <v>39</v>
      </c>
      <c r="M39" s="340" t="n">
        <v>13</v>
      </c>
      <c r="N39" s="340" t="n">
        <v>4</v>
      </c>
      <c r="O39" s="340" t="n">
        <v>4</v>
      </c>
      <c r="Q39" s="597" t="n">
        <v>1</v>
      </c>
      <c r="R39" s="340" t="n">
        <v>800</v>
      </c>
      <c r="T39" s="597" t="n">
        <v>40000</v>
      </c>
      <c r="U39" s="340" t="n">
        <v>2</v>
      </c>
      <c r="AD39" s="599" t="s">
        <v>1462</v>
      </c>
    </row>
    <row r="40" customFormat="false" ht="12.75" hidden="false" customHeight="false" outlineLevel="0" collapsed="false">
      <c r="B40" s="608" t="n">
        <v>35</v>
      </c>
      <c r="C40" s="609" t="s">
        <v>1463</v>
      </c>
      <c r="E40" s="597" t="n">
        <v>22</v>
      </c>
      <c r="F40" s="340" t="n">
        <v>11</v>
      </c>
      <c r="G40" s="627" t="n">
        <v>92</v>
      </c>
      <c r="H40" s="628" t="n">
        <v>46</v>
      </c>
      <c r="I40" s="340" t="n">
        <v>330</v>
      </c>
      <c r="J40" s="597" t="n">
        <v>660</v>
      </c>
      <c r="K40" s="340" t="n">
        <v>47</v>
      </c>
      <c r="L40" s="340" t="n">
        <v>40</v>
      </c>
      <c r="M40" s="340" t="n">
        <v>13</v>
      </c>
      <c r="N40" s="340" t="n">
        <v>4</v>
      </c>
      <c r="O40" s="340" t="n">
        <v>4</v>
      </c>
      <c r="Q40" s="597" t="n">
        <v>2</v>
      </c>
      <c r="R40" s="340" t="n">
        <v>2100</v>
      </c>
      <c r="T40" s="597" t="n">
        <v>160000</v>
      </c>
      <c r="U40" s="340" t="n">
        <v>3</v>
      </c>
      <c r="AD40" s="599" t="s">
        <v>1464</v>
      </c>
    </row>
    <row r="41" customFormat="false" ht="12.75" hidden="false" customHeight="false" outlineLevel="0" collapsed="false">
      <c r="B41" s="608" t="n">
        <v>36</v>
      </c>
      <c r="C41" s="609" t="s">
        <v>1465</v>
      </c>
      <c r="E41" s="597" t="n">
        <v>23</v>
      </c>
      <c r="F41" s="340" t="n">
        <v>12</v>
      </c>
      <c r="G41" s="627" t="n">
        <v>98</v>
      </c>
      <c r="H41" s="628" t="n">
        <v>49</v>
      </c>
      <c r="I41" s="340" t="n">
        <v>370</v>
      </c>
      <c r="J41" s="597" t="n">
        <v>740</v>
      </c>
      <c r="K41" s="340" t="n">
        <v>48</v>
      </c>
      <c r="L41" s="340" t="n">
        <v>41</v>
      </c>
      <c r="M41" s="340" t="n">
        <v>14</v>
      </c>
      <c r="N41" s="340" t="n">
        <v>4</v>
      </c>
      <c r="O41" s="340" t="n">
        <v>5</v>
      </c>
      <c r="Q41" s="597" t="n">
        <v>3</v>
      </c>
      <c r="R41" s="340" t="n">
        <v>4200</v>
      </c>
      <c r="T41" s="597" t="n">
        <v>640000</v>
      </c>
      <c r="U41" s="340" t="n">
        <v>4</v>
      </c>
      <c r="AD41" s="599" t="s">
        <v>1466</v>
      </c>
    </row>
    <row r="42" customFormat="false" ht="12.75" hidden="false" customHeight="false" outlineLevel="0" collapsed="false">
      <c r="B42" s="608" t="n">
        <v>37</v>
      </c>
      <c r="C42" s="609" t="s">
        <v>1467</v>
      </c>
      <c r="E42" s="597" t="n">
        <v>24</v>
      </c>
      <c r="F42" s="340" t="n">
        <v>12</v>
      </c>
      <c r="G42" s="627" t="n">
        <v>104</v>
      </c>
      <c r="H42" s="628" t="n">
        <v>52</v>
      </c>
      <c r="I42" s="340" t="n">
        <v>410</v>
      </c>
      <c r="J42" s="597" t="n">
        <v>820</v>
      </c>
      <c r="K42" s="340" t="n">
        <v>50</v>
      </c>
      <c r="L42" s="340" t="n">
        <v>43</v>
      </c>
      <c r="M42" s="340" t="n">
        <v>14</v>
      </c>
      <c r="N42" s="340" t="n">
        <v>4</v>
      </c>
      <c r="O42" s="340" t="n">
        <v>5</v>
      </c>
      <c r="Q42" s="597" t="n">
        <v>4</v>
      </c>
      <c r="R42" s="340" t="n">
        <v>7600</v>
      </c>
      <c r="T42" s="629" t="n">
        <v>2560000</v>
      </c>
      <c r="U42" s="631" t="n">
        <v>5</v>
      </c>
      <c r="AD42" s="599" t="s">
        <v>1468</v>
      </c>
    </row>
    <row r="43" customFormat="false" ht="12.75" hidden="false" customHeight="false" outlineLevel="0" collapsed="false">
      <c r="B43" s="608" t="n">
        <v>38</v>
      </c>
      <c r="C43" s="609" t="s">
        <v>1469</v>
      </c>
      <c r="E43" s="597" t="n">
        <v>25</v>
      </c>
      <c r="F43" s="340" t="n">
        <v>13</v>
      </c>
      <c r="G43" s="627" t="n">
        <v>110</v>
      </c>
      <c r="H43" s="628" t="n">
        <v>55</v>
      </c>
      <c r="I43" s="340" t="n">
        <v>460</v>
      </c>
      <c r="J43" s="597" t="n">
        <v>920</v>
      </c>
      <c r="K43" s="340" t="n">
        <v>51</v>
      </c>
      <c r="L43" s="340" t="n">
        <v>44</v>
      </c>
      <c r="M43" s="340" t="n">
        <v>15</v>
      </c>
      <c r="N43" s="340" t="n">
        <v>4</v>
      </c>
      <c r="O43" s="340" t="n">
        <v>5</v>
      </c>
      <c r="Q43" s="629" t="n">
        <v>5</v>
      </c>
      <c r="R43" s="631" t="n">
        <v>13100</v>
      </c>
      <c r="AD43" s="599" t="s">
        <v>1470</v>
      </c>
    </row>
    <row r="44" customFormat="false" ht="12.75" hidden="false" customHeight="false" outlineLevel="0" collapsed="false">
      <c r="B44" s="608" t="n">
        <v>39</v>
      </c>
      <c r="C44" s="609" t="s">
        <v>1471</v>
      </c>
      <c r="E44" s="597" t="n">
        <v>26</v>
      </c>
      <c r="F44" s="340" t="n">
        <v>13</v>
      </c>
      <c r="G44" s="627" t="n">
        <v>116</v>
      </c>
      <c r="H44" s="628" t="n">
        <v>58</v>
      </c>
      <c r="I44" s="340" t="n">
        <v>510</v>
      </c>
      <c r="J44" s="597" t="n">
        <v>1020</v>
      </c>
      <c r="K44" s="340" t="n">
        <v>52</v>
      </c>
      <c r="L44" s="340" t="n">
        <v>45</v>
      </c>
      <c r="M44" s="340" t="n">
        <v>15</v>
      </c>
      <c r="N44" s="340" t="n">
        <v>5</v>
      </c>
      <c r="O44" s="340" t="n">
        <v>6</v>
      </c>
      <c r="AD44" s="599" t="s">
        <v>1472</v>
      </c>
    </row>
    <row r="45" customFormat="false" ht="12.75" hidden="false" customHeight="false" outlineLevel="0" collapsed="false">
      <c r="B45" s="608" t="n">
        <v>40</v>
      </c>
      <c r="C45" s="609" t="s">
        <v>1473</v>
      </c>
      <c r="E45" s="597" t="n">
        <v>27</v>
      </c>
      <c r="F45" s="340" t="n">
        <v>13</v>
      </c>
      <c r="G45" s="627" t="n">
        <v>122</v>
      </c>
      <c r="H45" s="628" t="n">
        <v>61</v>
      </c>
      <c r="I45" s="340" t="n">
        <v>560</v>
      </c>
      <c r="J45" s="597" t="n">
        <v>1120</v>
      </c>
      <c r="K45" s="340" t="n">
        <v>54</v>
      </c>
      <c r="L45" s="340" t="n">
        <v>47</v>
      </c>
      <c r="M45" s="340" t="n">
        <v>15</v>
      </c>
      <c r="N45" s="340" t="n">
        <v>5</v>
      </c>
      <c r="O45" s="340" t="n">
        <v>6</v>
      </c>
      <c r="AD45" s="599" t="s">
        <v>1474</v>
      </c>
    </row>
    <row r="46" customFormat="false" ht="12.75" hidden="false" customHeight="false" outlineLevel="0" collapsed="false">
      <c r="B46" s="608" t="n">
        <v>41</v>
      </c>
      <c r="C46" s="609" t="s">
        <v>1475</v>
      </c>
      <c r="E46" s="597" t="n">
        <v>28</v>
      </c>
      <c r="F46" s="340" t="n">
        <v>14</v>
      </c>
      <c r="G46" s="627" t="n">
        <v>128</v>
      </c>
      <c r="H46" s="628" t="n">
        <v>64</v>
      </c>
      <c r="I46" s="340" t="n">
        <v>620</v>
      </c>
      <c r="J46" s="597" t="n">
        <v>1240</v>
      </c>
      <c r="K46" s="340" t="n">
        <v>55</v>
      </c>
      <c r="L46" s="340" t="n">
        <v>48</v>
      </c>
      <c r="M46" s="340" t="n">
        <v>16</v>
      </c>
      <c r="N46" s="340" t="n">
        <v>5</v>
      </c>
      <c r="O46" s="340" t="n">
        <v>6</v>
      </c>
      <c r="AD46" s="599" t="s">
        <v>1008</v>
      </c>
    </row>
    <row r="47" customFormat="false" ht="12.75" hidden="false" customHeight="false" outlineLevel="0" collapsed="false">
      <c r="B47" s="608" t="n">
        <v>42</v>
      </c>
      <c r="C47" s="609" t="s">
        <v>1476</v>
      </c>
      <c r="E47" s="597" t="n">
        <v>29</v>
      </c>
      <c r="F47" s="340" t="n">
        <v>14</v>
      </c>
      <c r="G47" s="627" t="n">
        <v>134</v>
      </c>
      <c r="H47" s="628" t="n">
        <v>67</v>
      </c>
      <c r="I47" s="340" t="n">
        <v>680</v>
      </c>
      <c r="J47" s="597" t="n">
        <v>1360</v>
      </c>
      <c r="K47" s="340" t="n">
        <v>56</v>
      </c>
      <c r="L47" s="340" t="n">
        <v>49</v>
      </c>
      <c r="M47" s="340" t="n">
        <v>16</v>
      </c>
      <c r="N47" s="340" t="n">
        <v>5</v>
      </c>
      <c r="O47" s="340" t="n">
        <v>7</v>
      </c>
      <c r="AD47" s="599" t="s">
        <v>1477</v>
      </c>
    </row>
    <row r="48" customFormat="false" ht="12.75" hidden="false" customHeight="false" outlineLevel="0" collapsed="false">
      <c r="B48" s="608" t="n">
        <v>43</v>
      </c>
      <c r="C48" s="609" t="s">
        <v>1478</v>
      </c>
      <c r="E48" s="629" t="n">
        <v>30</v>
      </c>
      <c r="F48" s="631" t="n">
        <v>15</v>
      </c>
      <c r="G48" s="632" t="n">
        <v>140</v>
      </c>
      <c r="H48" s="633" t="n">
        <v>70</v>
      </c>
      <c r="I48" s="631" t="n">
        <v>740</v>
      </c>
      <c r="J48" s="629" t="n">
        <v>1480</v>
      </c>
      <c r="K48" s="631" t="n">
        <v>58</v>
      </c>
      <c r="L48" s="631" t="n">
        <v>51</v>
      </c>
      <c r="M48" s="631" t="n">
        <v>17</v>
      </c>
      <c r="N48" s="631" t="n">
        <v>5</v>
      </c>
      <c r="O48" s="631" t="n">
        <v>7</v>
      </c>
      <c r="AD48" s="599" t="s">
        <v>1479</v>
      </c>
    </row>
    <row r="49" customFormat="false" ht="12.75" hidden="false" customHeight="false" outlineLevel="0" collapsed="false">
      <c r="B49" s="608" t="n">
        <v>44</v>
      </c>
      <c r="C49" s="609" t="s">
        <v>1480</v>
      </c>
      <c r="AD49" s="599" t="s">
        <v>1481</v>
      </c>
    </row>
    <row r="50" customFormat="false" ht="12.75" hidden="false" customHeight="false" outlineLevel="0" collapsed="false">
      <c r="B50" s="608" t="n">
        <v>45</v>
      </c>
      <c r="C50" s="608" t="s">
        <v>1482</v>
      </c>
      <c r="AD50" s="599" t="s">
        <v>1483</v>
      </c>
    </row>
    <row r="51" customFormat="false" ht="12.75" hidden="false" customHeight="false" outlineLevel="0" collapsed="false">
      <c r="B51" s="608" t="n">
        <v>45</v>
      </c>
      <c r="C51" s="608" t="s">
        <v>1484</v>
      </c>
      <c r="AD51" s="599" t="s">
        <v>1001</v>
      </c>
    </row>
    <row r="52" customFormat="false" ht="12.75" hidden="false" customHeight="false" outlineLevel="0" collapsed="false">
      <c r="B52" s="608" t="n">
        <v>45</v>
      </c>
      <c r="C52" s="608" t="s">
        <v>1485</v>
      </c>
      <c r="AD52" s="599" t="s">
        <v>1486</v>
      </c>
    </row>
    <row r="53" customFormat="false" ht="12.75" hidden="false" customHeight="false" outlineLevel="0" collapsed="false">
      <c r="B53" s="608" t="n">
        <v>45</v>
      </c>
      <c r="C53" s="608" t="s">
        <v>1487</v>
      </c>
      <c r="AD53" s="598" t="s">
        <v>1488</v>
      </c>
    </row>
    <row r="54" customFormat="false" ht="12.75" hidden="false" customHeight="false" outlineLevel="0" collapsed="false">
      <c r="B54" s="634" t="n">
        <v>45</v>
      </c>
      <c r="C54" s="634" t="s">
        <v>1489</v>
      </c>
      <c r="AD54" s="598"/>
    </row>
    <row r="55" customFormat="false" ht="12.75" hidden="false" customHeight="false" outlineLevel="0" collapsed="false">
      <c r="AD55" s="598"/>
    </row>
    <row r="56" customFormat="false" ht="12.75" hidden="false" customHeight="false" outlineLevel="0" collapsed="false">
      <c r="AD56" s="598"/>
    </row>
    <row r="57" customFormat="false" ht="12.75" hidden="false" customHeight="false" outlineLevel="0" collapsed="false">
      <c r="AD57" s="598"/>
    </row>
    <row r="58" customFormat="false" ht="12.75" hidden="false" customHeight="false" outlineLevel="0" collapsed="false">
      <c r="AD58" s="598"/>
    </row>
    <row r="59" customFormat="false" ht="12.75" hidden="false" customHeight="false" outlineLevel="0" collapsed="false">
      <c r="AD59" s="598"/>
    </row>
    <row r="60" customFormat="false" ht="12.75" hidden="false" customHeight="false" outlineLevel="0" collapsed="false">
      <c r="AD60" s="604"/>
    </row>
  </sheetData>
  <mergeCells count="14">
    <mergeCell ref="B3:C3"/>
    <mergeCell ref="F3:K3"/>
    <mergeCell ref="L3:N3"/>
    <mergeCell ref="O3:R3"/>
    <mergeCell ref="S3:T3"/>
    <mergeCell ref="U3:X3"/>
    <mergeCell ref="E16:O16"/>
    <mergeCell ref="Q16:R16"/>
    <mergeCell ref="U16:X16"/>
    <mergeCell ref="Y16:Z16"/>
    <mergeCell ref="G17:H17"/>
    <mergeCell ref="I17:J17"/>
    <mergeCell ref="T35:U35"/>
    <mergeCell ref="Q36:R36"/>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B165"/>
  <sheetViews>
    <sheetView showFormulas="false" showGridLines="true" showRowColHeaders="true" showZeros="true" rightToLeft="false" tabSelected="false" showOutlineSymbols="true" defaultGridColor="true" view="normal" topLeftCell="T1" colorId="64" zoomScale="110" zoomScaleNormal="110" zoomScalePageLayoutView="100" workbookViewId="0">
      <pane xSplit="0" ySplit="27" topLeftCell="A28" activePane="bottomLeft" state="frozen"/>
      <selection pane="topLeft" activeCell="T1" activeCellId="0" sqref="T1"/>
      <selection pane="bottomLeft" activeCell="T23" activeCellId="0" sqref="T23"/>
    </sheetView>
  </sheetViews>
  <sheetFormatPr defaultRowHeight="12.75" zeroHeight="false" outlineLevelRow="0" outlineLevelCol="0"/>
  <cols>
    <col collapsed="false" customWidth="true" hidden="false" outlineLevel="0" max="1" min="1" style="0" width="3.83"/>
    <col collapsed="false" customWidth="true" hidden="false" outlineLevel="0" max="2" min="2" style="0" width="16.66"/>
    <col collapsed="false" customWidth="true" hidden="false" outlineLevel="0" max="3" min="3" style="635" width="17.5"/>
    <col collapsed="false" customWidth="true" hidden="false" outlineLevel="0" max="9" min="4" style="0" width="17.5"/>
    <col collapsed="false" customWidth="true" hidden="false" outlineLevel="0" max="10" min="10" style="0" width="19.66"/>
    <col collapsed="false" customWidth="true" hidden="false" outlineLevel="0" max="16" min="11" style="0" width="17.5"/>
    <col collapsed="false" customWidth="true" hidden="false" outlineLevel="0" max="18" min="17" style="0" width="17.67"/>
    <col collapsed="false" customWidth="true" hidden="false" outlineLevel="0" max="32" min="19" style="0" width="17.5"/>
    <col collapsed="false" customWidth="true" hidden="false" outlineLevel="0" max="39" min="33" style="0" width="19.66"/>
    <col collapsed="false" customWidth="true" hidden="false" outlineLevel="0" max="45" min="40" style="0" width="17.5"/>
    <col collapsed="false" customWidth="true" hidden="false" outlineLevel="0" max="46" min="46" style="0" width="19.51"/>
    <col collapsed="false" customWidth="true" hidden="false" outlineLevel="0" max="54" min="47" style="0" width="17.5"/>
    <col collapsed="false" customWidth="true" hidden="false" outlineLevel="0" max="55" min="55" style="0" width="10.16"/>
    <col collapsed="false" customWidth="true" hidden="false" outlineLevel="0" max="56" min="56" style="0" width="9.5"/>
    <col collapsed="false" customWidth="true" hidden="false" outlineLevel="0" max="57" min="57" style="0" width="10.16"/>
    <col collapsed="false" customWidth="true" hidden="false" outlineLevel="0" max="1025" min="58" style="0" width="9.5"/>
  </cols>
  <sheetData>
    <row r="1" customFormat="false" ht="12.75" hidden="false" customHeight="false" outlineLevel="0" collapsed="false">
      <c r="G1" s="636"/>
      <c r="H1" s="636"/>
      <c r="I1" s="636"/>
    </row>
    <row r="2" customFormat="false" ht="12.75" hidden="false" customHeight="false" outlineLevel="0" collapsed="false">
      <c r="B2" s="637" t="s">
        <v>1490</v>
      </c>
      <c r="C2" s="638"/>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row>
    <row r="3" customFormat="false" ht="12.75" hidden="false" customHeight="false" outlineLevel="0" collapsed="false">
      <c r="B3" s="640" t="s">
        <v>981</v>
      </c>
      <c r="C3" s="594" t="s">
        <v>1326</v>
      </c>
      <c r="D3" s="594" t="s">
        <v>1330</v>
      </c>
      <c r="E3" s="594" t="s">
        <v>1335</v>
      </c>
      <c r="F3" s="594" t="s">
        <v>1338</v>
      </c>
      <c r="G3" s="594" t="s">
        <v>1342</v>
      </c>
      <c r="H3" s="594" t="s">
        <v>1347</v>
      </c>
      <c r="I3" s="594" t="s">
        <v>1349</v>
      </c>
      <c r="J3" s="594" t="s">
        <v>1351</v>
      </c>
      <c r="K3" s="594" t="s">
        <v>1354</v>
      </c>
      <c r="L3" s="594" t="s">
        <v>986</v>
      </c>
      <c r="M3" s="594" t="s">
        <v>1359</v>
      </c>
      <c r="N3" s="594" t="s">
        <v>990</v>
      </c>
      <c r="O3" s="594" t="s">
        <v>1362</v>
      </c>
      <c r="P3" s="594" t="s">
        <v>1370</v>
      </c>
      <c r="Q3" s="594" t="s">
        <v>996</v>
      </c>
      <c r="R3" s="594" t="s">
        <v>1391</v>
      </c>
      <c r="S3" s="594" t="s">
        <v>1395</v>
      </c>
      <c r="T3" s="594" t="s">
        <v>1397</v>
      </c>
      <c r="U3" s="594" t="s">
        <v>1401</v>
      </c>
      <c r="V3" s="594" t="s">
        <v>161</v>
      </c>
      <c r="W3" s="594" t="s">
        <v>1411</v>
      </c>
      <c r="X3" s="594" t="s">
        <v>1415</v>
      </c>
      <c r="Y3" s="594" t="s">
        <v>1005</v>
      </c>
      <c r="Z3" s="594" t="s">
        <v>1419</v>
      </c>
      <c r="AA3" s="594" t="s">
        <v>1423</v>
      </c>
      <c r="AB3" s="594" t="s">
        <v>1427</v>
      </c>
      <c r="AC3" s="594" t="s">
        <v>1431</v>
      </c>
      <c r="AD3" s="594" t="s">
        <v>1491</v>
      </c>
      <c r="AE3" s="594" t="s">
        <v>1435</v>
      </c>
      <c r="AF3" s="594" t="s">
        <v>1439</v>
      </c>
      <c r="AG3" s="594" t="s">
        <v>173</v>
      </c>
      <c r="AH3" s="594" t="s">
        <v>1446</v>
      </c>
      <c r="AI3" s="594" t="s">
        <v>1448</v>
      </c>
      <c r="AJ3" s="594" t="s">
        <v>1451</v>
      </c>
      <c r="AK3" s="594" t="s">
        <v>1460</v>
      </c>
      <c r="AL3" s="594" t="s">
        <v>1455</v>
      </c>
      <c r="AM3" s="594" t="s">
        <v>1458</v>
      </c>
      <c r="AN3" s="594" t="s">
        <v>1462</v>
      </c>
      <c r="AO3" s="594" t="s">
        <v>1464</v>
      </c>
      <c r="AP3" s="594" t="s">
        <v>1466</v>
      </c>
      <c r="AQ3" s="594" t="s">
        <v>1468</v>
      </c>
      <c r="AR3" s="594" t="s">
        <v>1470</v>
      </c>
      <c r="AS3" s="594" t="s">
        <v>1472</v>
      </c>
      <c r="AT3" s="594" t="s">
        <v>1474</v>
      </c>
      <c r="AU3" s="594" t="s">
        <v>1008</v>
      </c>
      <c r="AV3" s="603" t="s">
        <v>1477</v>
      </c>
      <c r="AW3" s="603" t="s">
        <v>1479</v>
      </c>
      <c r="AX3" s="603" t="s">
        <v>1481</v>
      </c>
      <c r="AY3" s="603" t="s">
        <v>1483</v>
      </c>
      <c r="AZ3" s="603" t="s">
        <v>1001</v>
      </c>
      <c r="BA3" s="603" t="s">
        <v>1486</v>
      </c>
      <c r="BB3" s="603" t="s">
        <v>1488</v>
      </c>
    </row>
    <row r="4" customFormat="false" ht="12.75" hidden="false" customHeight="false" outlineLevel="0" collapsed="false">
      <c r="B4" s="641" t="s">
        <v>985</v>
      </c>
      <c r="C4" s="636" t="s">
        <v>1492</v>
      </c>
      <c r="D4" s="636" t="s">
        <v>1493</v>
      </c>
      <c r="E4" s="636" t="s">
        <v>1493</v>
      </c>
      <c r="F4" s="636" t="s">
        <v>1493</v>
      </c>
      <c r="G4" s="636" t="s">
        <v>1494</v>
      </c>
      <c r="H4" s="636" t="s">
        <v>1495</v>
      </c>
      <c r="I4" s="636" t="s">
        <v>1494</v>
      </c>
      <c r="J4" s="636" t="s">
        <v>1493</v>
      </c>
      <c r="K4" s="636" t="s">
        <v>1495</v>
      </c>
      <c r="L4" s="636" t="s">
        <v>1496</v>
      </c>
      <c r="M4" s="636" t="s">
        <v>1497</v>
      </c>
      <c r="N4" s="636" t="s">
        <v>1493</v>
      </c>
      <c r="O4" s="636" t="s">
        <v>1498</v>
      </c>
      <c r="P4" s="636" t="s">
        <v>1499</v>
      </c>
      <c r="Q4" s="636" t="s">
        <v>1497</v>
      </c>
      <c r="R4" s="636" t="s">
        <v>1499</v>
      </c>
      <c r="S4" s="636" t="s">
        <v>1500</v>
      </c>
      <c r="T4" s="636" t="s">
        <v>1495</v>
      </c>
      <c r="U4" s="636" t="s">
        <v>1495</v>
      </c>
      <c r="V4" s="636" t="s">
        <v>1495</v>
      </c>
      <c r="W4" s="599" t="s">
        <v>1492</v>
      </c>
      <c r="X4" s="599" t="s">
        <v>1501</v>
      </c>
      <c r="Y4" s="636" t="s">
        <v>1502</v>
      </c>
      <c r="Z4" s="636" t="s">
        <v>1503</v>
      </c>
      <c r="AA4" s="636" t="s">
        <v>1493</v>
      </c>
      <c r="AB4" s="636" t="s">
        <v>1493</v>
      </c>
      <c r="AC4" s="636" t="s">
        <v>1493</v>
      </c>
      <c r="AD4" s="636" t="s">
        <v>1504</v>
      </c>
      <c r="AE4" s="636" t="s">
        <v>1505</v>
      </c>
      <c r="AF4" s="636" t="s">
        <v>1505</v>
      </c>
      <c r="AG4" s="636" t="s">
        <v>1493</v>
      </c>
      <c r="AH4" s="636" t="s">
        <v>1493</v>
      </c>
      <c r="AI4" s="636" t="s">
        <v>1495</v>
      </c>
      <c r="AJ4" s="636" t="s">
        <v>1493</v>
      </c>
      <c r="AK4" s="636" t="s">
        <v>1506</v>
      </c>
      <c r="AL4" s="636" t="s">
        <v>1504</v>
      </c>
      <c r="AM4" s="636" t="s">
        <v>1493</v>
      </c>
      <c r="AN4" s="636" t="s">
        <v>1507</v>
      </c>
      <c r="AO4" s="636" t="s">
        <v>1508</v>
      </c>
      <c r="AP4" s="636" t="s">
        <v>1509</v>
      </c>
      <c r="AQ4" s="636" t="s">
        <v>1509</v>
      </c>
      <c r="AR4" s="636" t="s">
        <v>1509</v>
      </c>
      <c r="AS4" s="636" t="s">
        <v>1509</v>
      </c>
      <c r="AT4" s="636" t="s">
        <v>1499</v>
      </c>
      <c r="AU4" s="636" t="s">
        <v>1510</v>
      </c>
      <c r="AV4" s="636" t="s">
        <v>1511</v>
      </c>
      <c r="AW4" s="636" t="s">
        <v>1512</v>
      </c>
      <c r="AX4" s="636" t="s">
        <v>1512</v>
      </c>
      <c r="AY4" s="636" t="s">
        <v>1499</v>
      </c>
      <c r="AZ4" s="599" t="s">
        <v>1497</v>
      </c>
      <c r="BA4" s="599" t="s">
        <v>1499</v>
      </c>
      <c r="BB4" s="599" t="s">
        <v>1499</v>
      </c>
    </row>
    <row r="5" customFormat="false" ht="12.75" hidden="false" customHeight="false" outlineLevel="0" collapsed="false">
      <c r="B5" s="642"/>
      <c r="C5" s="636" t="s">
        <v>1499</v>
      </c>
      <c r="D5" s="636" t="s">
        <v>1513</v>
      </c>
      <c r="E5" s="636" t="s">
        <v>1513</v>
      </c>
      <c r="F5" s="636" t="s">
        <v>1513</v>
      </c>
      <c r="G5" s="636" t="s">
        <v>1514</v>
      </c>
      <c r="H5" s="636" t="s">
        <v>1493</v>
      </c>
      <c r="I5" s="636" t="s">
        <v>1515</v>
      </c>
      <c r="J5" s="636" t="s">
        <v>1516</v>
      </c>
      <c r="K5" s="636" t="s">
        <v>1493</v>
      </c>
      <c r="L5" s="636" t="s">
        <v>1493</v>
      </c>
      <c r="M5" s="636" t="s">
        <v>1517</v>
      </c>
      <c r="N5" s="636" t="s">
        <v>1518</v>
      </c>
      <c r="O5" s="636" t="s">
        <v>1493</v>
      </c>
      <c r="P5" s="636" t="s">
        <v>1519</v>
      </c>
      <c r="Q5" s="636" t="s">
        <v>1493</v>
      </c>
      <c r="R5" s="636" t="s">
        <v>1520</v>
      </c>
      <c r="S5" s="636" t="s">
        <v>1521</v>
      </c>
      <c r="T5" s="636" t="s">
        <v>1493</v>
      </c>
      <c r="U5" s="636" t="s">
        <v>1493</v>
      </c>
      <c r="V5" s="636" t="s">
        <v>1493</v>
      </c>
      <c r="W5" s="599" t="s">
        <v>1501</v>
      </c>
      <c r="X5" s="599" t="s">
        <v>1522</v>
      </c>
      <c r="Y5" s="636" t="s">
        <v>1493</v>
      </c>
      <c r="Z5" s="636" t="s">
        <v>1510</v>
      </c>
      <c r="AA5" s="636" t="s">
        <v>1523</v>
      </c>
      <c r="AB5" s="636" t="s">
        <v>1523</v>
      </c>
      <c r="AC5" s="636" t="s">
        <v>1509</v>
      </c>
      <c r="AD5" s="636" t="s">
        <v>1493</v>
      </c>
      <c r="AE5" s="636" t="s">
        <v>1499</v>
      </c>
      <c r="AF5" s="636" t="s">
        <v>1499</v>
      </c>
      <c r="AG5" s="636" t="s">
        <v>1516</v>
      </c>
      <c r="AH5" s="636" t="s">
        <v>1516</v>
      </c>
      <c r="AI5" s="636" t="s">
        <v>1493</v>
      </c>
      <c r="AJ5" s="636" t="s">
        <v>1516</v>
      </c>
      <c r="AK5" s="636" t="s">
        <v>1493</v>
      </c>
      <c r="AL5" s="636" t="s">
        <v>1493</v>
      </c>
      <c r="AM5" s="636" t="s">
        <v>1516</v>
      </c>
      <c r="AN5" s="636" t="s">
        <v>1493</v>
      </c>
      <c r="AO5" s="636" t="s">
        <v>1493</v>
      </c>
      <c r="AP5" s="636" t="s">
        <v>1524</v>
      </c>
      <c r="AQ5" s="636" t="s">
        <v>1507</v>
      </c>
      <c r="AR5" s="636" t="s">
        <v>1506</v>
      </c>
      <c r="AS5" s="636" t="s">
        <v>1524</v>
      </c>
      <c r="AT5" s="636" t="s">
        <v>1493</v>
      </c>
      <c r="AU5" s="636" t="s">
        <v>1525</v>
      </c>
      <c r="AV5" s="636" t="s">
        <v>1526</v>
      </c>
      <c r="AW5" s="636" t="s">
        <v>1499</v>
      </c>
      <c r="AX5" s="636" t="s">
        <v>1499</v>
      </c>
      <c r="AY5" s="636" t="s">
        <v>1527</v>
      </c>
      <c r="AZ5" s="599" t="s">
        <v>1493</v>
      </c>
      <c r="BA5" s="599" t="s">
        <v>1493</v>
      </c>
      <c r="BB5" s="599" t="s">
        <v>1493</v>
      </c>
    </row>
    <row r="6" customFormat="false" ht="12.75" hidden="false" customHeight="false" outlineLevel="0" collapsed="false">
      <c r="B6" s="642"/>
      <c r="C6" s="636" t="s">
        <v>1495</v>
      </c>
      <c r="D6" s="636" t="s">
        <v>1528</v>
      </c>
      <c r="E6" s="636" t="s">
        <v>1528</v>
      </c>
      <c r="F6" s="636" t="s">
        <v>1528</v>
      </c>
      <c r="G6" s="636" t="s">
        <v>1529</v>
      </c>
      <c r="H6" s="636" t="s">
        <v>1530</v>
      </c>
      <c r="I6" s="636" t="s">
        <v>1493</v>
      </c>
      <c r="J6" s="636" t="s">
        <v>1531</v>
      </c>
      <c r="K6" s="636" t="s">
        <v>1508</v>
      </c>
      <c r="L6" s="636" t="s">
        <v>1518</v>
      </c>
      <c r="M6" s="636" t="s">
        <v>1493</v>
      </c>
      <c r="N6" s="636" t="s">
        <v>1532</v>
      </c>
      <c r="O6" s="636" t="s">
        <v>1516</v>
      </c>
      <c r="P6" s="636" t="s">
        <v>1493</v>
      </c>
      <c r="Q6" s="636" t="s">
        <v>1518</v>
      </c>
      <c r="R6" s="636" t="s">
        <v>1493</v>
      </c>
      <c r="S6" s="636" t="s">
        <v>1493</v>
      </c>
      <c r="T6" s="636" t="s">
        <v>1508</v>
      </c>
      <c r="U6" s="636" t="s">
        <v>1508</v>
      </c>
      <c r="V6" s="636" t="s">
        <v>1508</v>
      </c>
      <c r="W6" s="599" t="s">
        <v>1522</v>
      </c>
      <c r="X6" s="599" t="s">
        <v>1493</v>
      </c>
      <c r="Y6" s="636" t="s">
        <v>1533</v>
      </c>
      <c r="Z6" s="636" t="s">
        <v>1509</v>
      </c>
      <c r="AA6" s="636" t="s">
        <v>1530</v>
      </c>
      <c r="AB6" s="636" t="s">
        <v>1530</v>
      </c>
      <c r="AC6" s="636" t="s">
        <v>1530</v>
      </c>
      <c r="AD6" s="636" t="s">
        <v>1530</v>
      </c>
      <c r="AE6" s="636" t="s">
        <v>1493</v>
      </c>
      <c r="AF6" s="636" t="s">
        <v>1493</v>
      </c>
      <c r="AG6" s="636" t="s">
        <v>1531</v>
      </c>
      <c r="AH6" s="636" t="s">
        <v>205</v>
      </c>
      <c r="AI6" s="636" t="s">
        <v>1516</v>
      </c>
      <c r="AJ6" s="636" t="s">
        <v>1531</v>
      </c>
      <c r="AK6" s="636" t="s">
        <v>1516</v>
      </c>
      <c r="AL6" s="636" t="s">
        <v>1516</v>
      </c>
      <c r="AM6" s="636" t="s">
        <v>1508</v>
      </c>
      <c r="AN6" s="636" t="s">
        <v>1534</v>
      </c>
      <c r="AO6" s="636" t="s">
        <v>1534</v>
      </c>
      <c r="AP6" s="636" t="s">
        <v>1507</v>
      </c>
      <c r="AQ6" s="636" t="s">
        <v>1493</v>
      </c>
      <c r="AR6" s="636" t="s">
        <v>1524</v>
      </c>
      <c r="AS6" s="636" t="s">
        <v>1507</v>
      </c>
      <c r="AT6" s="636" t="s">
        <v>1530</v>
      </c>
      <c r="AU6" s="636" t="s">
        <v>1535</v>
      </c>
      <c r="AV6" s="636" t="s">
        <v>1493</v>
      </c>
      <c r="AW6" s="636" t="s">
        <v>1536</v>
      </c>
      <c r="AX6" s="636" t="s">
        <v>1504</v>
      </c>
      <c r="AY6" s="636" t="s">
        <v>1493</v>
      </c>
      <c r="AZ6" s="599" t="s">
        <v>1518</v>
      </c>
      <c r="BA6" s="599" t="s">
        <v>1513</v>
      </c>
      <c r="BB6" s="599" t="s">
        <v>1513</v>
      </c>
    </row>
    <row r="7" customFormat="false" ht="12.75" hidden="false" customHeight="false" outlineLevel="0" collapsed="false">
      <c r="B7" s="642"/>
      <c r="C7" s="636" t="s">
        <v>1493</v>
      </c>
      <c r="D7" s="636" t="s">
        <v>1537</v>
      </c>
      <c r="E7" s="636" t="s">
        <v>1537</v>
      </c>
      <c r="F7" s="636" t="s">
        <v>1537</v>
      </c>
      <c r="G7" s="636" t="s">
        <v>1493</v>
      </c>
      <c r="H7" s="636" t="s">
        <v>1538</v>
      </c>
      <c r="I7" s="636" t="s">
        <v>1539</v>
      </c>
      <c r="J7" s="636" t="s">
        <v>1540</v>
      </c>
      <c r="K7" s="636" t="s">
        <v>1541</v>
      </c>
      <c r="L7" s="636" t="s">
        <v>1542</v>
      </c>
      <c r="M7" s="636" t="s">
        <v>1530</v>
      </c>
      <c r="N7" s="636" t="s">
        <v>1533</v>
      </c>
      <c r="O7" s="636" t="s">
        <v>1530</v>
      </c>
      <c r="P7" s="636" t="s">
        <v>1543</v>
      </c>
      <c r="Q7" s="636" t="s">
        <v>1533</v>
      </c>
      <c r="R7" s="636" t="s">
        <v>1530</v>
      </c>
      <c r="S7" s="636" t="s">
        <v>1544</v>
      </c>
      <c r="T7" s="636" t="s">
        <v>1541</v>
      </c>
      <c r="U7" s="636" t="s">
        <v>1541</v>
      </c>
      <c r="V7" s="636" t="s">
        <v>1540</v>
      </c>
      <c r="W7" s="599" t="s">
        <v>1493</v>
      </c>
      <c r="X7" s="599" t="s">
        <v>1530</v>
      </c>
      <c r="Y7" s="636" t="s">
        <v>1545</v>
      </c>
      <c r="Z7" s="636" t="s">
        <v>1546</v>
      </c>
      <c r="AA7" s="636" t="s">
        <v>1547</v>
      </c>
      <c r="AB7" s="636" t="s">
        <v>1547</v>
      </c>
      <c r="AC7" s="636" t="s">
        <v>1547</v>
      </c>
      <c r="AD7" s="636" t="s">
        <v>1547</v>
      </c>
      <c r="AE7" s="636" t="s">
        <v>1530</v>
      </c>
      <c r="AF7" s="636" t="s">
        <v>1530</v>
      </c>
      <c r="AG7" s="636" t="s">
        <v>1540</v>
      </c>
      <c r="AH7" s="636" t="s">
        <v>1540</v>
      </c>
      <c r="AI7" s="636" t="s">
        <v>1540</v>
      </c>
      <c r="AJ7" s="636" t="s">
        <v>1508</v>
      </c>
      <c r="AK7" s="636" t="s">
        <v>1531</v>
      </c>
      <c r="AL7" s="636" t="s">
        <v>1531</v>
      </c>
      <c r="AM7" s="636" t="s">
        <v>1540</v>
      </c>
      <c r="AN7" s="636" t="s">
        <v>1548</v>
      </c>
      <c r="AO7" s="636" t="s">
        <v>1548</v>
      </c>
      <c r="AP7" s="636" t="s">
        <v>1493</v>
      </c>
      <c r="AQ7" s="636" t="s">
        <v>1543</v>
      </c>
      <c r="AR7" s="636" t="s">
        <v>1493</v>
      </c>
      <c r="AS7" s="636" t="s">
        <v>1493</v>
      </c>
      <c r="AT7" s="636" t="s">
        <v>1544</v>
      </c>
      <c r="AU7" s="636" t="s">
        <v>1493</v>
      </c>
      <c r="AV7" s="636" t="s">
        <v>1549</v>
      </c>
      <c r="AW7" s="636" t="s">
        <v>1493</v>
      </c>
      <c r="AX7" s="636" t="s">
        <v>1493</v>
      </c>
      <c r="AY7" s="636" t="s">
        <v>1541</v>
      </c>
      <c r="AZ7" s="599" t="s">
        <v>1533</v>
      </c>
      <c r="BA7" s="599" t="s">
        <v>1540</v>
      </c>
      <c r="BB7" s="599" t="s">
        <v>1540</v>
      </c>
    </row>
    <row r="8" customFormat="false" ht="12.75" hidden="false" customHeight="false" outlineLevel="0" collapsed="false">
      <c r="B8" s="642"/>
      <c r="C8" s="636" t="s">
        <v>1530</v>
      </c>
      <c r="D8" s="636" t="s">
        <v>1550</v>
      </c>
      <c r="E8" s="636" t="s">
        <v>1550</v>
      </c>
      <c r="F8" s="636" t="s">
        <v>1550</v>
      </c>
      <c r="G8" s="636" t="s">
        <v>1544</v>
      </c>
      <c r="H8" s="636" t="s">
        <v>1551</v>
      </c>
      <c r="I8" s="636" t="s">
        <v>1552</v>
      </c>
      <c r="J8" s="636" t="s">
        <v>1553</v>
      </c>
      <c r="K8" s="636" t="s">
        <v>1554</v>
      </c>
      <c r="L8" s="636" t="s">
        <v>1555</v>
      </c>
      <c r="M8" s="636" t="s">
        <v>1556</v>
      </c>
      <c r="N8" s="636" t="s">
        <v>1089</v>
      </c>
      <c r="O8" s="636" t="s">
        <v>1557</v>
      </c>
      <c r="P8" s="636" t="s">
        <v>1532</v>
      </c>
      <c r="Q8" s="636" t="s">
        <v>1089</v>
      </c>
      <c r="R8" s="636" t="s">
        <v>1544</v>
      </c>
      <c r="S8" s="636" t="s">
        <v>1558</v>
      </c>
      <c r="T8" s="636" t="s">
        <v>1554</v>
      </c>
      <c r="U8" s="636" t="s">
        <v>1554</v>
      </c>
      <c r="V8" s="636" t="s">
        <v>1541</v>
      </c>
      <c r="W8" s="599" t="s">
        <v>1530</v>
      </c>
      <c r="X8" s="599" t="s">
        <v>1556</v>
      </c>
      <c r="Y8" s="636" t="s">
        <v>1559</v>
      </c>
      <c r="Z8" s="636" t="s">
        <v>1560</v>
      </c>
      <c r="AA8" s="636" t="s">
        <v>1549</v>
      </c>
      <c r="AB8" s="636" t="s">
        <v>1505</v>
      </c>
      <c r="AC8" s="636" t="s">
        <v>1549</v>
      </c>
      <c r="AD8" s="636" t="s">
        <v>1549</v>
      </c>
      <c r="AE8" s="636" t="s">
        <v>1544</v>
      </c>
      <c r="AF8" s="636" t="s">
        <v>1544</v>
      </c>
      <c r="AG8" s="636" t="s">
        <v>1553</v>
      </c>
      <c r="AH8" s="636" t="s">
        <v>1553</v>
      </c>
      <c r="AI8" s="636" t="s">
        <v>1553</v>
      </c>
      <c r="AJ8" s="636" t="s">
        <v>1544</v>
      </c>
      <c r="AK8" s="636" t="s">
        <v>1540</v>
      </c>
      <c r="AL8" s="636" t="s">
        <v>1540</v>
      </c>
      <c r="AM8" s="636" t="s">
        <v>1553</v>
      </c>
      <c r="AN8" s="636" t="s">
        <v>1532</v>
      </c>
      <c r="AO8" s="636" t="s">
        <v>1532</v>
      </c>
      <c r="AP8" s="636" t="s">
        <v>1561</v>
      </c>
      <c r="AQ8" s="636" t="s">
        <v>1534</v>
      </c>
      <c r="AR8" s="636" t="s">
        <v>1561</v>
      </c>
      <c r="AS8" s="636" t="s">
        <v>1534</v>
      </c>
      <c r="AT8" s="636" t="s">
        <v>1562</v>
      </c>
      <c r="AU8" s="636" t="s">
        <v>1556</v>
      </c>
      <c r="AV8" s="636" t="s">
        <v>1563</v>
      </c>
      <c r="AW8" s="636" t="s">
        <v>1530</v>
      </c>
      <c r="AX8" s="636" t="s">
        <v>1530</v>
      </c>
      <c r="AY8" s="636" t="s">
        <v>1554</v>
      </c>
      <c r="AZ8" s="636" t="s">
        <v>1089</v>
      </c>
      <c r="BA8" s="636" t="s">
        <v>1541</v>
      </c>
      <c r="BB8" s="636" t="s">
        <v>1541</v>
      </c>
    </row>
    <row r="9" customFormat="false" ht="12.75" hidden="false" customHeight="false" outlineLevel="0" collapsed="false">
      <c r="B9" s="642"/>
      <c r="C9" s="636"/>
      <c r="D9" s="636"/>
      <c r="E9" s="636"/>
      <c r="F9" s="636"/>
      <c r="G9" s="636"/>
      <c r="H9" s="636"/>
      <c r="I9" s="636"/>
      <c r="J9" s="636"/>
      <c r="K9" s="636"/>
      <c r="L9" s="636" t="s">
        <v>1089</v>
      </c>
      <c r="M9" s="636"/>
      <c r="N9" s="636" t="s">
        <v>1564</v>
      </c>
      <c r="O9" s="636"/>
      <c r="P9" s="636"/>
      <c r="Q9" s="636" t="s">
        <v>1565</v>
      </c>
      <c r="R9" s="636"/>
      <c r="S9" s="636"/>
      <c r="T9" s="636"/>
      <c r="U9" s="636"/>
      <c r="V9" s="636"/>
      <c r="W9" s="599"/>
      <c r="X9" s="599"/>
      <c r="Y9" s="636" t="s">
        <v>1554</v>
      </c>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t="s">
        <v>1566</v>
      </c>
      <c r="BA9" s="636"/>
      <c r="BB9" s="636"/>
    </row>
    <row r="10" customFormat="false" ht="12.75" hidden="false" customHeight="false" outlineLevel="0" collapsed="false">
      <c r="B10" s="642"/>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row>
    <row r="11" customFormat="false" ht="12.75" hidden="false" customHeight="false" outlineLevel="0" collapsed="false">
      <c r="B11" s="643" t="s">
        <v>989</v>
      </c>
      <c r="C11" s="644" t="s">
        <v>1567</v>
      </c>
      <c r="D11" s="644" t="s">
        <v>1568</v>
      </c>
      <c r="E11" s="644" t="s">
        <v>1509</v>
      </c>
      <c r="F11" s="644" t="s">
        <v>1568</v>
      </c>
      <c r="G11" s="644" t="s">
        <v>1569</v>
      </c>
      <c r="H11" s="644" t="s">
        <v>1570</v>
      </c>
      <c r="I11" s="644" t="s">
        <v>1571</v>
      </c>
      <c r="J11" s="644" t="s">
        <v>1509</v>
      </c>
      <c r="K11" s="644" t="s">
        <v>1548</v>
      </c>
      <c r="L11" s="644" t="s">
        <v>1572</v>
      </c>
      <c r="M11" s="644" t="s">
        <v>1573</v>
      </c>
      <c r="N11" s="644" t="s">
        <v>1574</v>
      </c>
      <c r="O11" s="644" t="s">
        <v>1575</v>
      </c>
      <c r="P11" s="644" t="s">
        <v>1576</v>
      </c>
      <c r="Q11" s="644" t="s">
        <v>1577</v>
      </c>
      <c r="R11" s="644" t="s">
        <v>1578</v>
      </c>
      <c r="S11" s="644" t="s">
        <v>1579</v>
      </c>
      <c r="T11" s="644" t="s">
        <v>1532</v>
      </c>
      <c r="U11" s="644" t="s">
        <v>1529</v>
      </c>
      <c r="V11" s="644" t="s">
        <v>1532</v>
      </c>
      <c r="W11" s="645" t="s">
        <v>1580</v>
      </c>
      <c r="X11" s="645" t="s">
        <v>1580</v>
      </c>
      <c r="Y11" s="644" t="s">
        <v>1497</v>
      </c>
      <c r="Z11" s="644" t="s">
        <v>1535</v>
      </c>
      <c r="AA11" s="644" t="s">
        <v>1581</v>
      </c>
      <c r="AB11" s="644" t="s">
        <v>1581</v>
      </c>
      <c r="AC11" s="644" t="s">
        <v>1582</v>
      </c>
      <c r="AD11" s="644" t="s">
        <v>1581</v>
      </c>
      <c r="AE11" s="644" t="s">
        <v>1523</v>
      </c>
      <c r="AF11" s="644" t="s">
        <v>1523</v>
      </c>
      <c r="AG11" s="644" t="s">
        <v>1583</v>
      </c>
      <c r="AH11" s="644" t="s">
        <v>1583</v>
      </c>
      <c r="AI11" s="644" t="s">
        <v>1583</v>
      </c>
      <c r="AJ11" s="644" t="s">
        <v>1583</v>
      </c>
      <c r="AK11" s="644" t="s">
        <v>1582</v>
      </c>
      <c r="AL11" s="644" t="s">
        <v>1583</v>
      </c>
      <c r="AM11" s="644" t="s">
        <v>1583</v>
      </c>
      <c r="AN11" s="644" t="s">
        <v>1584</v>
      </c>
      <c r="AO11" s="644" t="s">
        <v>1584</v>
      </c>
      <c r="AP11" s="644" t="s">
        <v>1574</v>
      </c>
      <c r="AQ11" s="644" t="s">
        <v>1548</v>
      </c>
      <c r="AR11" s="644" t="s">
        <v>1582</v>
      </c>
      <c r="AS11" s="644" t="s">
        <v>1548</v>
      </c>
      <c r="AT11" s="644" t="s">
        <v>1585</v>
      </c>
      <c r="AU11" s="644" t="s">
        <v>1507</v>
      </c>
      <c r="AV11" s="644" t="s">
        <v>1586</v>
      </c>
      <c r="AW11" s="644" t="s">
        <v>1585</v>
      </c>
      <c r="AX11" s="644" t="s">
        <v>1585</v>
      </c>
      <c r="AY11" s="644" t="s">
        <v>1508</v>
      </c>
      <c r="AZ11" s="644" t="s">
        <v>1587</v>
      </c>
      <c r="BA11" s="644" t="s">
        <v>1562</v>
      </c>
      <c r="BB11" s="644" t="s">
        <v>1588</v>
      </c>
    </row>
    <row r="12" customFormat="false" ht="12.75" hidden="false" customHeight="false" outlineLevel="0" collapsed="false">
      <c r="B12" s="642"/>
      <c r="C12" s="646"/>
      <c r="D12" s="646"/>
      <c r="E12" s="646"/>
      <c r="F12" s="646"/>
      <c r="G12" s="646"/>
      <c r="H12" s="646"/>
      <c r="I12" s="646"/>
      <c r="J12" s="646"/>
      <c r="K12" s="646"/>
      <c r="L12" s="646"/>
      <c r="M12" s="646"/>
      <c r="N12" s="646"/>
      <c r="O12" s="646"/>
      <c r="P12" s="646"/>
      <c r="Q12" s="646"/>
      <c r="R12" s="646"/>
      <c r="S12" s="646"/>
      <c r="T12" s="646"/>
      <c r="U12" s="646"/>
      <c r="V12" s="646"/>
      <c r="W12" s="647"/>
      <c r="X12" s="647"/>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7"/>
      <c r="BA12" s="647"/>
      <c r="BB12" s="647"/>
    </row>
    <row r="13" customFormat="false" ht="12.75" hidden="false" customHeight="false" outlineLevel="0" collapsed="false">
      <c r="B13" s="642"/>
      <c r="C13" s="646"/>
      <c r="D13" s="646"/>
      <c r="E13" s="646"/>
      <c r="F13" s="646"/>
      <c r="G13" s="646"/>
      <c r="H13" s="646"/>
      <c r="I13" s="646"/>
      <c r="J13" s="646"/>
      <c r="K13" s="646"/>
      <c r="L13" s="646"/>
      <c r="M13" s="646"/>
      <c r="N13" s="646"/>
      <c r="O13" s="646"/>
      <c r="P13" s="646"/>
      <c r="Q13" s="646"/>
      <c r="R13" s="646"/>
      <c r="S13" s="646"/>
      <c r="T13" s="646"/>
      <c r="U13" s="646"/>
      <c r="V13" s="646"/>
      <c r="W13" s="647"/>
      <c r="X13" s="647"/>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row>
    <row r="14" customFormat="false" ht="12.75" hidden="false" customHeight="false" outlineLevel="0" collapsed="false">
      <c r="B14" s="643" t="s">
        <v>1400</v>
      </c>
      <c r="C14" s="648" t="s">
        <v>1589</v>
      </c>
      <c r="D14" s="648" t="s">
        <v>1585</v>
      </c>
      <c r="E14" s="648" t="s">
        <v>1585</v>
      </c>
      <c r="F14" s="648" t="s">
        <v>1590</v>
      </c>
      <c r="G14" s="648" t="s">
        <v>1591</v>
      </c>
      <c r="H14" s="648" t="s">
        <v>1592</v>
      </c>
      <c r="I14" s="648" t="s">
        <v>1593</v>
      </c>
      <c r="J14" s="648" t="s">
        <v>1535</v>
      </c>
      <c r="K14" s="648" t="s">
        <v>1543</v>
      </c>
      <c r="L14" s="648" t="s">
        <v>1594</v>
      </c>
      <c r="M14" s="648" t="s">
        <v>1595</v>
      </c>
      <c r="N14" s="648" t="s">
        <v>1596</v>
      </c>
      <c r="O14" s="648" t="s">
        <v>1597</v>
      </c>
      <c r="P14" s="636" t="s">
        <v>1598</v>
      </c>
      <c r="Q14" s="648" t="s">
        <v>1599</v>
      </c>
      <c r="R14" s="648" t="s">
        <v>1600</v>
      </c>
      <c r="S14" s="648" t="s">
        <v>1599</v>
      </c>
      <c r="T14" s="648" t="s">
        <v>1543</v>
      </c>
      <c r="U14" s="648" t="s">
        <v>1543</v>
      </c>
      <c r="V14" s="648" t="s">
        <v>1574</v>
      </c>
      <c r="W14" s="649" t="s">
        <v>1578</v>
      </c>
      <c r="X14" s="649" t="s">
        <v>1578</v>
      </c>
      <c r="Y14" s="648" t="s">
        <v>1599</v>
      </c>
      <c r="Z14" s="648" t="s">
        <v>1601</v>
      </c>
      <c r="AA14" s="648" t="s">
        <v>1602</v>
      </c>
      <c r="AB14" s="648" t="s">
        <v>1602</v>
      </c>
      <c r="AC14" s="648" t="s">
        <v>1602</v>
      </c>
      <c r="AD14" s="648" t="s">
        <v>1602</v>
      </c>
      <c r="AE14" s="648" t="s">
        <v>1603</v>
      </c>
      <c r="AF14" s="648" t="s">
        <v>1603</v>
      </c>
      <c r="AG14" s="648" t="s">
        <v>1604</v>
      </c>
      <c r="AH14" s="648" t="s">
        <v>1604</v>
      </c>
      <c r="AI14" s="648" t="s">
        <v>1604</v>
      </c>
      <c r="AJ14" s="648" t="s">
        <v>1604</v>
      </c>
      <c r="AK14" s="648" t="s">
        <v>1605</v>
      </c>
      <c r="AL14" s="648" t="s">
        <v>1604</v>
      </c>
      <c r="AM14" s="648" t="s">
        <v>1604</v>
      </c>
      <c r="AN14" s="648" t="s">
        <v>1606</v>
      </c>
      <c r="AO14" s="648" t="s">
        <v>1606</v>
      </c>
      <c r="AP14" s="648" t="s">
        <v>1589</v>
      </c>
      <c r="AQ14" s="648" t="s">
        <v>1589</v>
      </c>
      <c r="AR14" s="648" t="s">
        <v>1589</v>
      </c>
      <c r="AS14" s="648" t="s">
        <v>1584</v>
      </c>
      <c r="AT14" s="648" t="s">
        <v>1558</v>
      </c>
      <c r="AU14" s="648" t="s">
        <v>1573</v>
      </c>
      <c r="AV14" s="648" t="s">
        <v>1607</v>
      </c>
      <c r="AW14" s="648" t="s">
        <v>1608</v>
      </c>
      <c r="AX14" s="648" t="s">
        <v>1608</v>
      </c>
      <c r="AY14" s="648" t="s">
        <v>1609</v>
      </c>
      <c r="AZ14" s="649" t="s">
        <v>1584</v>
      </c>
      <c r="BA14" s="649" t="s">
        <v>1558</v>
      </c>
      <c r="BB14" s="649" t="s">
        <v>1558</v>
      </c>
    </row>
    <row r="15" customFormat="false" ht="12.75" hidden="false" customHeight="false" outlineLevel="0" collapsed="false">
      <c r="B15" s="642"/>
      <c r="C15" s="636"/>
      <c r="D15" s="636"/>
      <c r="E15" s="636"/>
      <c r="F15" s="636"/>
      <c r="G15" s="636"/>
      <c r="H15" s="636"/>
      <c r="I15" s="636"/>
      <c r="J15" s="636"/>
      <c r="K15" s="636"/>
      <c r="L15" s="636"/>
      <c r="M15" s="636"/>
      <c r="N15" s="636"/>
      <c r="O15" s="636"/>
      <c r="P15" s="636"/>
      <c r="Q15" s="636"/>
      <c r="R15" s="636"/>
      <c r="S15" s="636"/>
      <c r="T15" s="636"/>
      <c r="U15" s="636"/>
      <c r="V15" s="636"/>
      <c r="W15" s="599" t="s">
        <v>1610</v>
      </c>
      <c r="X15" s="599" t="s">
        <v>1610</v>
      </c>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599"/>
      <c r="BA15" s="599"/>
      <c r="BB15" s="599"/>
    </row>
    <row r="16" customFormat="false" ht="12.75" hidden="false" customHeight="false" outlineLevel="0" collapsed="false">
      <c r="B16" s="643" t="s">
        <v>1404</v>
      </c>
      <c r="C16" s="644" t="s">
        <v>1611</v>
      </c>
      <c r="D16" s="644" t="s">
        <v>1612</v>
      </c>
      <c r="E16" s="644" t="s">
        <v>1612</v>
      </c>
      <c r="F16" s="644" t="s">
        <v>1612</v>
      </c>
      <c r="G16" s="644" t="s">
        <v>1613</v>
      </c>
      <c r="H16" s="644" t="s">
        <v>1614</v>
      </c>
      <c r="I16" s="644" t="s">
        <v>1615</v>
      </c>
      <c r="J16" s="646" t="s">
        <v>1616</v>
      </c>
      <c r="K16" s="644" t="s">
        <v>1617</v>
      </c>
      <c r="L16" s="644" t="s">
        <v>1618</v>
      </c>
      <c r="M16" s="644" t="s">
        <v>1619</v>
      </c>
      <c r="N16" s="644" t="s">
        <v>1620</v>
      </c>
      <c r="O16" s="644" t="s">
        <v>1621</v>
      </c>
      <c r="P16" s="644" t="s">
        <v>1622</v>
      </c>
      <c r="Q16" s="644" t="s">
        <v>1623</v>
      </c>
      <c r="R16" s="644" t="s">
        <v>1624</v>
      </c>
      <c r="S16" s="644" t="s">
        <v>1625</v>
      </c>
      <c r="T16" s="644" t="s">
        <v>1617</v>
      </c>
      <c r="U16" s="644" t="s">
        <v>1617</v>
      </c>
      <c r="V16" s="644" t="s">
        <v>1617</v>
      </c>
      <c r="W16" s="645" t="s">
        <v>1626</v>
      </c>
      <c r="X16" s="645" t="s">
        <v>1626</v>
      </c>
      <c r="Y16" s="644" t="s">
        <v>1623</v>
      </c>
      <c r="Z16" s="644" t="s">
        <v>1627</v>
      </c>
      <c r="AA16" s="644" t="s">
        <v>1628</v>
      </c>
      <c r="AB16" s="644" t="s">
        <v>1628</v>
      </c>
      <c r="AC16" s="644" t="s">
        <v>1628</v>
      </c>
      <c r="AD16" s="644" t="s">
        <v>1628</v>
      </c>
      <c r="AE16" s="646" t="s">
        <v>1629</v>
      </c>
      <c r="AF16" s="646" t="s">
        <v>1629</v>
      </c>
      <c r="AG16" s="646" t="s">
        <v>1616</v>
      </c>
      <c r="AH16" s="646" t="s">
        <v>1616</v>
      </c>
      <c r="AI16" s="646" t="s">
        <v>1616</v>
      </c>
      <c r="AJ16" s="646" t="s">
        <v>1616</v>
      </c>
      <c r="AK16" s="646" t="s">
        <v>1616</v>
      </c>
      <c r="AL16" s="646" t="s">
        <v>1616</v>
      </c>
      <c r="AM16" s="646" t="s">
        <v>1616</v>
      </c>
      <c r="AN16" s="646" t="s">
        <v>1630</v>
      </c>
      <c r="AO16" s="646" t="s">
        <v>1630</v>
      </c>
      <c r="AP16" s="644" t="s">
        <v>1631</v>
      </c>
      <c r="AQ16" s="644" t="s">
        <v>1631</v>
      </c>
      <c r="AR16" s="644" t="s">
        <v>1631</v>
      </c>
      <c r="AS16" s="644" t="s">
        <v>1631</v>
      </c>
      <c r="AT16" s="644" t="s">
        <v>1632</v>
      </c>
      <c r="AU16" s="646" t="s">
        <v>1633</v>
      </c>
      <c r="AV16" s="644" t="s">
        <v>1634</v>
      </c>
      <c r="AW16" s="644" t="s">
        <v>1635</v>
      </c>
      <c r="AX16" s="644" t="s">
        <v>1635</v>
      </c>
      <c r="AY16" s="644" t="s">
        <v>1636</v>
      </c>
      <c r="AZ16" s="645" t="s">
        <v>1548</v>
      </c>
      <c r="BA16" s="645" t="s">
        <v>1637</v>
      </c>
      <c r="BB16" s="645" t="s">
        <v>1637</v>
      </c>
    </row>
    <row r="17" customFormat="false" ht="12.75" hidden="false" customHeight="false" outlineLevel="0" collapsed="false">
      <c r="B17" s="642"/>
      <c r="C17" s="646"/>
      <c r="D17" s="646"/>
      <c r="E17" s="646"/>
      <c r="F17" s="646"/>
      <c r="G17" s="646"/>
      <c r="H17" s="646"/>
      <c r="I17" s="646"/>
      <c r="J17" s="646"/>
      <c r="K17" s="646"/>
      <c r="L17" s="646"/>
      <c r="M17" s="646"/>
      <c r="N17" s="646"/>
      <c r="O17" s="646"/>
      <c r="P17" s="646"/>
      <c r="Q17" s="646"/>
      <c r="R17" s="646"/>
      <c r="S17" s="646"/>
      <c r="T17" s="646"/>
      <c r="U17" s="646"/>
      <c r="V17" s="646"/>
      <c r="W17" s="647"/>
      <c r="X17" s="647"/>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7"/>
      <c r="BA17" s="647"/>
      <c r="BB17" s="647"/>
    </row>
    <row r="18" customFormat="false" ht="12.75" hidden="false" customHeight="false" outlineLevel="0" collapsed="false">
      <c r="B18" s="643" t="s">
        <v>1407</v>
      </c>
      <c r="C18" s="648" t="s">
        <v>1638</v>
      </c>
      <c r="D18" s="648" t="s">
        <v>1639</v>
      </c>
      <c r="E18" s="648" t="s">
        <v>1639</v>
      </c>
      <c r="F18" s="648" t="s">
        <v>1556</v>
      </c>
      <c r="G18" s="648" t="s">
        <v>1640</v>
      </c>
      <c r="H18" s="648" t="s">
        <v>1638</v>
      </c>
      <c r="I18" s="648" t="s">
        <v>1641</v>
      </c>
      <c r="J18" s="648" t="s">
        <v>1642</v>
      </c>
      <c r="K18" s="648" t="s">
        <v>1527</v>
      </c>
      <c r="L18" s="636" t="s">
        <v>1643</v>
      </c>
      <c r="M18" s="648" t="s">
        <v>1644</v>
      </c>
      <c r="N18" s="648" t="s">
        <v>1645</v>
      </c>
      <c r="O18" s="648" t="s">
        <v>1646</v>
      </c>
      <c r="P18" s="648" t="s">
        <v>1647</v>
      </c>
      <c r="Q18" s="648" t="s">
        <v>1648</v>
      </c>
      <c r="R18" s="648" t="s">
        <v>1522</v>
      </c>
      <c r="S18" s="648" t="s">
        <v>1649</v>
      </c>
      <c r="T18" s="648" t="s">
        <v>1527</v>
      </c>
      <c r="U18" s="648" t="s">
        <v>1650</v>
      </c>
      <c r="V18" s="648" t="s">
        <v>1527</v>
      </c>
      <c r="W18" s="649" t="s">
        <v>1651</v>
      </c>
      <c r="X18" s="649" t="s">
        <v>1651</v>
      </c>
      <c r="Y18" s="648" t="s">
        <v>1652</v>
      </c>
      <c r="Z18" s="648" t="s">
        <v>1653</v>
      </c>
      <c r="AA18" s="648" t="s">
        <v>1654</v>
      </c>
      <c r="AB18" s="648" t="s">
        <v>1654</v>
      </c>
      <c r="AC18" s="648" t="s">
        <v>1654</v>
      </c>
      <c r="AD18" s="648" t="s">
        <v>1654</v>
      </c>
      <c r="AE18" s="648" t="s">
        <v>1655</v>
      </c>
      <c r="AF18" s="648" t="s">
        <v>1655</v>
      </c>
      <c r="AG18" s="648" t="s">
        <v>1656</v>
      </c>
      <c r="AH18" s="648" t="s">
        <v>1656</v>
      </c>
      <c r="AI18" s="648" t="s">
        <v>1656</v>
      </c>
      <c r="AJ18" s="648" t="s">
        <v>1656</v>
      </c>
      <c r="AK18" s="648" t="s">
        <v>1656</v>
      </c>
      <c r="AL18" s="648" t="s">
        <v>1656</v>
      </c>
      <c r="AM18" s="648" t="s">
        <v>1656</v>
      </c>
      <c r="AN18" s="648" t="s">
        <v>1657</v>
      </c>
      <c r="AO18" s="648" t="s">
        <v>1657</v>
      </c>
      <c r="AP18" s="648" t="s">
        <v>1658</v>
      </c>
      <c r="AQ18" s="648" t="s">
        <v>1658</v>
      </c>
      <c r="AR18" s="648" t="s">
        <v>1658</v>
      </c>
      <c r="AS18" s="648" t="s">
        <v>1658</v>
      </c>
      <c r="AT18" s="648" t="s">
        <v>1647</v>
      </c>
      <c r="AU18" s="648" t="s">
        <v>1647</v>
      </c>
      <c r="AV18" s="648" t="s">
        <v>1659</v>
      </c>
      <c r="AW18" s="648" t="s">
        <v>1660</v>
      </c>
      <c r="AX18" s="648" t="s">
        <v>1660</v>
      </c>
      <c r="AY18" s="648" t="s">
        <v>1607</v>
      </c>
      <c r="AZ18" s="649" t="s">
        <v>1556</v>
      </c>
      <c r="BA18" s="649" t="s">
        <v>1585</v>
      </c>
      <c r="BB18" s="649" t="s">
        <v>1585</v>
      </c>
    </row>
    <row r="19" customFormat="false" ht="12.75" hidden="false" customHeight="false" outlineLevel="0" collapsed="false">
      <c r="B19" s="642"/>
      <c r="C19" s="636"/>
      <c r="D19" s="636"/>
      <c r="E19" s="636"/>
      <c r="F19" s="636"/>
      <c r="G19" s="636"/>
      <c r="H19" s="636"/>
      <c r="I19" s="636"/>
      <c r="J19" s="636"/>
      <c r="K19" s="636"/>
      <c r="L19" s="636"/>
      <c r="M19" s="636"/>
      <c r="N19" s="636"/>
      <c r="O19" s="636"/>
      <c r="P19" s="636"/>
      <c r="Q19" s="636"/>
      <c r="R19" s="636"/>
      <c r="S19" s="636"/>
      <c r="T19" s="636"/>
      <c r="U19" s="636"/>
      <c r="V19" s="636"/>
      <c r="W19" s="599"/>
      <c r="X19" s="599"/>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599"/>
      <c r="BA19" s="599"/>
      <c r="BB19" s="599"/>
    </row>
    <row r="20" customFormat="false" ht="12.75" hidden="false" customHeight="false" outlineLevel="0" collapsed="false">
      <c r="B20" s="642"/>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row>
    <row r="21" customFormat="false" ht="12.75" hidden="false" customHeight="false" outlineLevel="0" collapsed="false">
      <c r="B21" s="643" t="s">
        <v>1410</v>
      </c>
      <c r="C21" s="644" t="s">
        <v>1558</v>
      </c>
      <c r="D21" s="644" t="s">
        <v>1661</v>
      </c>
      <c r="E21" s="644" t="s">
        <v>1661</v>
      </c>
      <c r="F21" s="644" t="s">
        <v>1661</v>
      </c>
      <c r="G21" s="644" t="s">
        <v>1662</v>
      </c>
      <c r="H21" s="644" t="s">
        <v>1644</v>
      </c>
      <c r="I21" s="644" t="s">
        <v>1663</v>
      </c>
      <c r="J21" s="644" t="s">
        <v>1664</v>
      </c>
      <c r="K21" s="644" t="s">
        <v>1497</v>
      </c>
      <c r="L21" s="644" t="s">
        <v>1665</v>
      </c>
      <c r="M21" s="644" t="s">
        <v>1666</v>
      </c>
      <c r="N21" s="645" t="s">
        <v>1667</v>
      </c>
      <c r="O21" s="645" t="s">
        <v>1668</v>
      </c>
      <c r="P21" s="645" t="s">
        <v>1659</v>
      </c>
      <c r="Q21" s="645" t="s">
        <v>1579</v>
      </c>
      <c r="R21" s="644" t="s">
        <v>1669</v>
      </c>
      <c r="S21" s="644" t="s">
        <v>1669</v>
      </c>
      <c r="T21" s="644" t="s">
        <v>1497</v>
      </c>
      <c r="U21" s="644" t="s">
        <v>1497</v>
      </c>
      <c r="V21" s="644" t="s">
        <v>1497</v>
      </c>
      <c r="W21" s="645" t="s">
        <v>1670</v>
      </c>
      <c r="X21" s="645" t="s">
        <v>1670</v>
      </c>
      <c r="Y21" s="644" t="s">
        <v>1671</v>
      </c>
      <c r="Z21" s="644" t="s">
        <v>1659</v>
      </c>
      <c r="AA21" s="644" t="s">
        <v>1672</v>
      </c>
      <c r="AB21" s="644" t="s">
        <v>1672</v>
      </c>
      <c r="AC21" s="644" t="s">
        <v>1673</v>
      </c>
      <c r="AD21" s="644" t="s">
        <v>1672</v>
      </c>
      <c r="AE21" s="644" t="s">
        <v>1512</v>
      </c>
      <c r="AF21" s="644" t="s">
        <v>1512</v>
      </c>
      <c r="AG21" s="644" t="s">
        <v>1664</v>
      </c>
      <c r="AH21" s="644" t="s">
        <v>1664</v>
      </c>
      <c r="AI21" s="644" t="s">
        <v>1664</v>
      </c>
      <c r="AJ21" s="644" t="s">
        <v>1670</v>
      </c>
      <c r="AK21" s="644" t="s">
        <v>1664</v>
      </c>
      <c r="AL21" s="644" t="s">
        <v>1576</v>
      </c>
      <c r="AM21" s="644" t="s">
        <v>1664</v>
      </c>
      <c r="AN21" s="644" t="s">
        <v>1674</v>
      </c>
      <c r="AO21" s="644" t="s">
        <v>1674</v>
      </c>
      <c r="AP21" s="644" t="s">
        <v>1659</v>
      </c>
      <c r="AQ21" s="644" t="s">
        <v>1659</v>
      </c>
      <c r="AR21" s="644" t="s">
        <v>1659</v>
      </c>
      <c r="AS21" s="644" t="s">
        <v>1659</v>
      </c>
      <c r="AT21" s="644" t="s">
        <v>1669</v>
      </c>
      <c r="AU21" s="644" t="s">
        <v>1644</v>
      </c>
      <c r="AV21" s="644" t="s">
        <v>1642</v>
      </c>
      <c r="AW21" s="644" t="s">
        <v>1669</v>
      </c>
      <c r="AX21" s="644" t="s">
        <v>1669</v>
      </c>
      <c r="AY21" s="644" t="s">
        <v>1675</v>
      </c>
      <c r="AZ21" s="645" t="s">
        <v>1606</v>
      </c>
      <c r="BA21" s="645" t="s">
        <v>1676</v>
      </c>
      <c r="BB21" s="645" t="s">
        <v>1676</v>
      </c>
    </row>
    <row r="22" customFormat="false" ht="12.75" hidden="false" customHeight="false" outlineLevel="0" collapsed="false">
      <c r="B22" s="642"/>
      <c r="C22" s="646"/>
      <c r="D22" s="646"/>
      <c r="E22" s="646"/>
      <c r="F22" s="646"/>
      <c r="G22" s="646"/>
      <c r="H22" s="646"/>
      <c r="I22" s="646"/>
      <c r="J22" s="646"/>
      <c r="K22" s="646"/>
      <c r="L22" s="646"/>
      <c r="M22" s="646"/>
      <c r="N22" s="646"/>
      <c r="O22" s="646"/>
      <c r="P22" s="646"/>
      <c r="Q22" s="646"/>
      <c r="R22" s="646"/>
      <c r="S22" s="646"/>
      <c r="T22" s="646"/>
      <c r="U22" s="646"/>
      <c r="V22" s="646"/>
      <c r="W22" s="647"/>
      <c r="X22" s="647"/>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7"/>
      <c r="BA22" s="647"/>
      <c r="BB22" s="647"/>
    </row>
    <row r="23" customFormat="false" ht="12.75" hidden="false" customHeight="false" outlineLevel="0" collapsed="false">
      <c r="B23" s="643" t="s">
        <v>1414</v>
      </c>
      <c r="C23" s="648" t="s">
        <v>1659</v>
      </c>
      <c r="D23" s="648" t="s">
        <v>1677</v>
      </c>
      <c r="E23" s="648" t="s">
        <v>1677</v>
      </c>
      <c r="F23" s="648" t="s">
        <v>1677</v>
      </c>
      <c r="G23" s="648" t="s">
        <v>1678</v>
      </c>
      <c r="H23" s="648" t="s">
        <v>1654</v>
      </c>
      <c r="I23" s="648" t="s">
        <v>1679</v>
      </c>
      <c r="J23" s="648" t="s">
        <v>1680</v>
      </c>
      <c r="K23" s="648" t="s">
        <v>1589</v>
      </c>
      <c r="L23" s="649" t="s">
        <v>1681</v>
      </c>
      <c r="M23" s="648" t="s">
        <v>1669</v>
      </c>
      <c r="N23" s="648" t="s">
        <v>1680</v>
      </c>
      <c r="O23" s="648" t="s">
        <v>1682</v>
      </c>
      <c r="P23" s="648" t="s">
        <v>1556</v>
      </c>
      <c r="Q23" s="648" t="s">
        <v>1683</v>
      </c>
      <c r="R23" s="648" t="s">
        <v>1670</v>
      </c>
      <c r="S23" s="648" t="s">
        <v>1684</v>
      </c>
      <c r="T23" s="648" t="s">
        <v>1589</v>
      </c>
      <c r="U23" s="648" t="s">
        <v>1589</v>
      </c>
      <c r="V23" s="648" t="s">
        <v>1589</v>
      </c>
      <c r="W23" s="649" t="s">
        <v>1685</v>
      </c>
      <c r="X23" s="649" t="s">
        <v>1685</v>
      </c>
      <c r="Y23" s="648" t="s">
        <v>1686</v>
      </c>
      <c r="Z23" s="648" t="s">
        <v>1556</v>
      </c>
      <c r="AA23" s="648" t="s">
        <v>1659</v>
      </c>
      <c r="AB23" s="648" t="s">
        <v>1659</v>
      </c>
      <c r="AC23" s="648" t="s">
        <v>1659</v>
      </c>
      <c r="AD23" s="648" t="s">
        <v>1659</v>
      </c>
      <c r="AE23" s="648" t="s">
        <v>1685</v>
      </c>
      <c r="AF23" s="648" t="s">
        <v>1685</v>
      </c>
      <c r="AG23" s="648" t="s">
        <v>1680</v>
      </c>
      <c r="AH23" s="648" t="s">
        <v>1680</v>
      </c>
      <c r="AI23" s="648" t="s">
        <v>1510</v>
      </c>
      <c r="AJ23" s="648" t="s">
        <v>1680</v>
      </c>
      <c r="AK23" s="648" t="s">
        <v>1680</v>
      </c>
      <c r="AL23" s="648" t="s">
        <v>1680</v>
      </c>
      <c r="AM23" s="648" t="s">
        <v>1680</v>
      </c>
      <c r="AN23" s="648" t="s">
        <v>1676</v>
      </c>
      <c r="AO23" s="648" t="s">
        <v>1676</v>
      </c>
      <c r="AP23" s="648" t="s">
        <v>1686</v>
      </c>
      <c r="AQ23" s="648" t="s">
        <v>1686</v>
      </c>
      <c r="AR23" s="648" t="s">
        <v>1686</v>
      </c>
      <c r="AS23" s="648" t="s">
        <v>1686</v>
      </c>
      <c r="AT23" s="648" t="s">
        <v>1684</v>
      </c>
      <c r="AU23" s="648" t="s">
        <v>1660</v>
      </c>
      <c r="AV23" s="648" t="s">
        <v>1686</v>
      </c>
      <c r="AW23" s="648" t="s">
        <v>1654</v>
      </c>
      <c r="AX23" s="648" t="s">
        <v>1685</v>
      </c>
      <c r="AY23" s="648" t="s">
        <v>1656</v>
      </c>
      <c r="AZ23" s="649" t="s">
        <v>1659</v>
      </c>
      <c r="BA23" s="649" t="s">
        <v>1639</v>
      </c>
      <c r="BB23" s="649" t="s">
        <v>1639</v>
      </c>
    </row>
    <row r="24" customFormat="false" ht="12.75" hidden="false" customHeight="false" outlineLevel="0" collapsed="false">
      <c r="B24" s="642"/>
      <c r="C24" s="636"/>
      <c r="D24" s="636"/>
      <c r="E24" s="636"/>
      <c r="F24" s="636"/>
      <c r="G24" s="636"/>
      <c r="H24" s="636"/>
      <c r="I24" s="636"/>
      <c r="J24" s="636"/>
      <c r="K24" s="636"/>
      <c r="L24" s="636"/>
      <c r="M24" s="636"/>
      <c r="N24" s="648"/>
      <c r="O24" s="636"/>
      <c r="P24" s="636"/>
      <c r="Q24" s="636"/>
      <c r="R24" s="636"/>
      <c r="S24" s="636"/>
      <c r="T24" s="636"/>
      <c r="U24" s="636"/>
      <c r="V24" s="636"/>
      <c r="W24" s="599"/>
      <c r="X24" s="599"/>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599"/>
      <c r="BA24" s="599"/>
      <c r="BB24" s="599"/>
    </row>
    <row r="25" customFormat="false" ht="12.75" hidden="false" customHeight="false" outlineLevel="0" collapsed="false">
      <c r="B25" s="643" t="s">
        <v>1418</v>
      </c>
      <c r="C25" s="644" t="s">
        <v>1686</v>
      </c>
      <c r="D25" s="644" t="s">
        <v>1687</v>
      </c>
      <c r="E25" s="644" t="s">
        <v>1687</v>
      </c>
      <c r="F25" s="644" t="s">
        <v>1687</v>
      </c>
      <c r="G25" s="644" t="s">
        <v>1688</v>
      </c>
      <c r="H25" s="644" t="s">
        <v>1672</v>
      </c>
      <c r="I25" s="644" t="s">
        <v>1689</v>
      </c>
      <c r="J25" s="644" t="s">
        <v>1645</v>
      </c>
      <c r="K25" s="644" t="s">
        <v>1676</v>
      </c>
      <c r="L25" s="644" t="s">
        <v>1690</v>
      </c>
      <c r="M25" s="644" t="s">
        <v>1691</v>
      </c>
      <c r="N25" s="644" t="s">
        <v>1692</v>
      </c>
      <c r="O25" s="644" t="s">
        <v>1692</v>
      </c>
      <c r="P25" s="644" t="s">
        <v>1693</v>
      </c>
      <c r="Q25" s="644" t="s">
        <v>1694</v>
      </c>
      <c r="R25" s="644" t="s">
        <v>1691</v>
      </c>
      <c r="S25" s="644" t="s">
        <v>1685</v>
      </c>
      <c r="T25" s="644" t="s">
        <v>1676</v>
      </c>
      <c r="U25" s="644" t="s">
        <v>1676</v>
      </c>
      <c r="V25" s="644" t="s">
        <v>1676</v>
      </c>
      <c r="W25" s="645" t="s">
        <v>1695</v>
      </c>
      <c r="X25" s="645" t="s">
        <v>1695</v>
      </c>
      <c r="Y25" s="644" t="s">
        <v>1676</v>
      </c>
      <c r="Z25" s="644" t="s">
        <v>1645</v>
      </c>
      <c r="AA25" s="644" t="s">
        <v>1691</v>
      </c>
      <c r="AB25" s="644" t="s">
        <v>1691</v>
      </c>
      <c r="AC25" s="644" t="s">
        <v>1691</v>
      </c>
      <c r="AD25" s="644" t="s">
        <v>1691</v>
      </c>
      <c r="AE25" s="644" t="s">
        <v>1672</v>
      </c>
      <c r="AF25" s="644" t="s">
        <v>1672</v>
      </c>
      <c r="AG25" s="644" t="s">
        <v>1645</v>
      </c>
      <c r="AH25" s="644" t="s">
        <v>1645</v>
      </c>
      <c r="AI25" s="644" t="s">
        <v>1645</v>
      </c>
      <c r="AJ25" s="644" t="s">
        <v>1645</v>
      </c>
      <c r="AK25" s="644" t="s">
        <v>1645</v>
      </c>
      <c r="AL25" s="644" t="s">
        <v>1645</v>
      </c>
      <c r="AM25" s="644" t="s">
        <v>1645</v>
      </c>
      <c r="AN25" s="644" t="s">
        <v>1645</v>
      </c>
      <c r="AO25" s="644" t="s">
        <v>1645</v>
      </c>
      <c r="AP25" s="644" t="s">
        <v>1644</v>
      </c>
      <c r="AQ25" s="644" t="s">
        <v>1644</v>
      </c>
      <c r="AR25" s="644" t="s">
        <v>1644</v>
      </c>
      <c r="AS25" s="644" t="s">
        <v>1644</v>
      </c>
      <c r="AT25" s="644" t="s">
        <v>1691</v>
      </c>
      <c r="AU25" s="644" t="s">
        <v>1696</v>
      </c>
      <c r="AV25" s="644" t="s">
        <v>1697</v>
      </c>
      <c r="AW25" s="644" t="s">
        <v>1691</v>
      </c>
      <c r="AX25" s="644" t="s">
        <v>1691</v>
      </c>
      <c r="AY25" s="644" t="s">
        <v>1676</v>
      </c>
      <c r="AZ25" s="644" t="s">
        <v>1698</v>
      </c>
      <c r="BA25" s="644" t="s">
        <v>1644</v>
      </c>
      <c r="BB25" s="644" t="s">
        <v>1644</v>
      </c>
    </row>
    <row r="26" customFormat="false" ht="12.75" hidden="false" customHeight="false" outlineLevel="0" collapsed="false">
      <c r="B26" s="642"/>
      <c r="C26" s="646"/>
      <c r="D26" s="646"/>
      <c r="E26" s="646"/>
      <c r="F26" s="646"/>
      <c r="G26" s="646"/>
      <c r="H26" s="646"/>
      <c r="I26" s="646"/>
      <c r="J26" s="646"/>
      <c r="K26" s="646"/>
      <c r="L26" s="646"/>
      <c r="M26" s="646"/>
      <c r="N26" s="646"/>
      <c r="O26" s="646"/>
      <c r="P26" s="646"/>
      <c r="Q26" s="646"/>
      <c r="R26" s="646"/>
      <c r="S26" s="646"/>
      <c r="T26" s="646"/>
      <c r="U26" s="646"/>
      <c r="V26" s="646"/>
      <c r="W26" s="647"/>
      <c r="X26" s="647"/>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7"/>
      <c r="BA26" s="647"/>
      <c r="BB26" s="647"/>
    </row>
    <row r="27" customFormat="false" ht="12.75" hidden="false" customHeight="false" outlineLevel="0" collapsed="false">
      <c r="B27" s="642"/>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row>
    <row r="28" customFormat="false" ht="12.75" hidden="false" customHeight="false" outlineLevel="0" collapsed="false">
      <c r="B28" s="643" t="s">
        <v>1422</v>
      </c>
      <c r="C28" s="648" t="s">
        <v>1699</v>
      </c>
      <c r="D28" s="648" t="s">
        <v>1700</v>
      </c>
      <c r="E28" s="648" t="s">
        <v>1700</v>
      </c>
      <c r="F28" s="648" t="s">
        <v>1700</v>
      </c>
      <c r="G28" s="648" t="s">
        <v>1701</v>
      </c>
      <c r="H28" s="648" t="s">
        <v>1702</v>
      </c>
      <c r="I28" s="648" t="s">
        <v>1703</v>
      </c>
      <c r="J28" s="648" t="s">
        <v>1704</v>
      </c>
      <c r="K28" s="648" t="s">
        <v>1675</v>
      </c>
      <c r="L28" s="649" t="s">
        <v>1705</v>
      </c>
      <c r="M28" s="649" t="s">
        <v>1702</v>
      </c>
      <c r="N28" s="649" t="s">
        <v>1706</v>
      </c>
      <c r="O28" s="648" t="s">
        <v>1707</v>
      </c>
      <c r="P28" s="648" t="s">
        <v>1702</v>
      </c>
      <c r="Q28" s="648" t="s">
        <v>1708</v>
      </c>
      <c r="R28" s="648" t="s">
        <v>1709</v>
      </c>
      <c r="S28" s="648" t="s">
        <v>1676</v>
      </c>
      <c r="T28" s="648" t="s">
        <v>1675</v>
      </c>
      <c r="U28" s="648" t="s">
        <v>1675</v>
      </c>
      <c r="V28" s="648" t="s">
        <v>1675</v>
      </c>
      <c r="W28" s="649" t="s">
        <v>1710</v>
      </c>
      <c r="X28" s="649" t="s">
        <v>1710</v>
      </c>
      <c r="Y28" s="648" t="s">
        <v>1711</v>
      </c>
      <c r="Z28" s="648" t="s">
        <v>1706</v>
      </c>
      <c r="AA28" s="648" t="s">
        <v>1712</v>
      </c>
      <c r="AB28" s="648" t="s">
        <v>1712</v>
      </c>
      <c r="AC28" s="648" t="s">
        <v>1712</v>
      </c>
      <c r="AD28" s="648" t="s">
        <v>1712</v>
      </c>
      <c r="AE28" s="648" t="s">
        <v>1713</v>
      </c>
      <c r="AF28" s="648" t="s">
        <v>1713</v>
      </c>
      <c r="AG28" s="648" t="s">
        <v>1704</v>
      </c>
      <c r="AH28" s="648" t="s">
        <v>1704</v>
      </c>
      <c r="AI28" s="648" t="s">
        <v>1704</v>
      </c>
      <c r="AJ28" s="648" t="s">
        <v>1704</v>
      </c>
      <c r="AK28" s="648" t="s">
        <v>1704</v>
      </c>
      <c r="AL28" s="648" t="s">
        <v>1704</v>
      </c>
      <c r="AM28" s="648" t="s">
        <v>1704</v>
      </c>
      <c r="AN28" s="648" t="s">
        <v>1714</v>
      </c>
      <c r="AO28" s="648" t="s">
        <v>1714</v>
      </c>
      <c r="AP28" s="648" t="s">
        <v>1715</v>
      </c>
      <c r="AQ28" s="648" t="s">
        <v>1715</v>
      </c>
      <c r="AR28" s="648" t="s">
        <v>1715</v>
      </c>
      <c r="AS28" s="648" t="s">
        <v>1715</v>
      </c>
      <c r="AT28" s="648" t="s">
        <v>1681</v>
      </c>
      <c r="AU28" s="648" t="s">
        <v>1716</v>
      </c>
      <c r="AV28" s="648" t="s">
        <v>1664</v>
      </c>
      <c r="AW28" s="648" t="s">
        <v>1703</v>
      </c>
      <c r="AX28" s="648" t="s">
        <v>1703</v>
      </c>
      <c r="AY28" s="648" t="s">
        <v>1645</v>
      </c>
      <c r="AZ28" s="649" t="s">
        <v>1717</v>
      </c>
      <c r="BA28" s="649" t="s">
        <v>1718</v>
      </c>
      <c r="BB28" s="649" t="s">
        <v>1718</v>
      </c>
    </row>
    <row r="29" customFormat="false" ht="12.75" hidden="false" customHeight="false" outlineLevel="0" collapsed="false">
      <c r="B29" s="642"/>
      <c r="C29" s="636"/>
      <c r="D29" s="636"/>
      <c r="E29" s="636"/>
      <c r="F29" s="636"/>
      <c r="G29" s="636"/>
      <c r="H29" s="636"/>
      <c r="I29" s="636"/>
      <c r="J29" s="636"/>
      <c r="K29" s="636"/>
      <c r="L29" s="636"/>
      <c r="M29" s="636"/>
      <c r="N29" s="636"/>
      <c r="O29" s="636"/>
      <c r="P29" s="636"/>
      <c r="Q29" s="649"/>
      <c r="R29" s="636"/>
      <c r="S29" s="636"/>
      <c r="T29" s="636"/>
      <c r="U29" s="636"/>
      <c r="V29" s="636"/>
      <c r="W29" s="599"/>
      <c r="X29" s="599"/>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599"/>
      <c r="BA29" s="599"/>
      <c r="BB29" s="599"/>
    </row>
    <row r="30" customFormat="false" ht="12.75" hidden="false" customHeight="false" outlineLevel="0" collapsed="false">
      <c r="B30" s="642"/>
      <c r="C30" s="636"/>
      <c r="D30" s="636"/>
      <c r="E30" s="636"/>
      <c r="F30" s="636"/>
      <c r="G30" s="636"/>
      <c r="H30" s="636"/>
      <c r="I30" s="636"/>
      <c r="J30" s="636"/>
      <c r="K30" s="636"/>
      <c r="L30" s="636"/>
      <c r="M30" s="636"/>
      <c r="N30" s="636"/>
      <c r="O30" s="636"/>
      <c r="P30" s="636"/>
      <c r="Q30" s="636"/>
      <c r="R30" s="636"/>
      <c r="S30" s="636"/>
      <c r="T30" s="636"/>
      <c r="U30" s="636"/>
      <c r="V30" s="636"/>
      <c r="W30" s="599"/>
      <c r="X30" s="599"/>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599"/>
      <c r="BA30" s="599"/>
      <c r="BB30" s="599"/>
    </row>
    <row r="31" customFormat="false" ht="12.75" hidden="false" customHeight="false" outlineLevel="0" collapsed="false">
      <c r="B31" s="643" t="s">
        <v>1426</v>
      </c>
      <c r="C31" s="644" t="s">
        <v>1719</v>
      </c>
      <c r="D31" s="644" t="s">
        <v>1720</v>
      </c>
      <c r="E31" s="644" t="s">
        <v>1720</v>
      </c>
      <c r="F31" s="644" t="s">
        <v>1720</v>
      </c>
      <c r="G31" s="644" t="s">
        <v>1721</v>
      </c>
      <c r="H31" s="644" t="s">
        <v>1722</v>
      </c>
      <c r="I31" s="644" t="s">
        <v>1723</v>
      </c>
      <c r="J31" s="644" t="s">
        <v>1674</v>
      </c>
      <c r="K31" s="644" t="s">
        <v>1645</v>
      </c>
      <c r="L31" s="644" t="s">
        <v>1675</v>
      </c>
      <c r="M31" s="644" t="s">
        <v>1724</v>
      </c>
      <c r="N31" s="644" t="s">
        <v>1725</v>
      </c>
      <c r="O31" s="644" t="s">
        <v>1726</v>
      </c>
      <c r="P31" s="644" t="s">
        <v>1714</v>
      </c>
      <c r="Q31" s="644" t="s">
        <v>1727</v>
      </c>
      <c r="R31" s="644" t="s">
        <v>1719</v>
      </c>
      <c r="S31" s="644" t="s">
        <v>1728</v>
      </c>
      <c r="T31" s="644" t="s">
        <v>1645</v>
      </c>
      <c r="U31" s="644" t="s">
        <v>1645</v>
      </c>
      <c r="V31" s="644" t="s">
        <v>1645</v>
      </c>
      <c r="W31" s="645" t="s">
        <v>1729</v>
      </c>
      <c r="X31" s="645" t="s">
        <v>1729</v>
      </c>
      <c r="Y31" s="644" t="s">
        <v>1727</v>
      </c>
      <c r="Z31" s="644" t="s">
        <v>1715</v>
      </c>
      <c r="AA31" s="644" t="s">
        <v>1730</v>
      </c>
      <c r="AB31" s="644" t="s">
        <v>1730</v>
      </c>
      <c r="AC31" s="644" t="s">
        <v>1730</v>
      </c>
      <c r="AD31" s="644" t="s">
        <v>1730</v>
      </c>
      <c r="AE31" s="644" t="s">
        <v>1731</v>
      </c>
      <c r="AF31" s="644" t="s">
        <v>1731</v>
      </c>
      <c r="AG31" s="644" t="s">
        <v>1674</v>
      </c>
      <c r="AH31" s="644" t="s">
        <v>1674</v>
      </c>
      <c r="AI31" s="644" t="s">
        <v>1674</v>
      </c>
      <c r="AJ31" s="644" t="s">
        <v>1674</v>
      </c>
      <c r="AK31" s="644" t="s">
        <v>1674</v>
      </c>
      <c r="AL31" s="644" t="s">
        <v>1674</v>
      </c>
      <c r="AM31" s="644" t="s">
        <v>1674</v>
      </c>
      <c r="AN31" s="644" t="s">
        <v>1706</v>
      </c>
      <c r="AO31" s="644" t="s">
        <v>1706</v>
      </c>
      <c r="AP31" s="644" t="s">
        <v>1732</v>
      </c>
      <c r="AQ31" s="644" t="s">
        <v>1732</v>
      </c>
      <c r="AR31" s="644" t="s">
        <v>1732</v>
      </c>
      <c r="AS31" s="644" t="s">
        <v>1732</v>
      </c>
      <c r="AT31" s="644" t="s">
        <v>1709</v>
      </c>
      <c r="AU31" s="644" t="s">
        <v>1733</v>
      </c>
      <c r="AV31" s="644" t="s">
        <v>1715</v>
      </c>
      <c r="AW31" s="644" t="s">
        <v>1712</v>
      </c>
      <c r="AX31" s="644" t="s">
        <v>1712</v>
      </c>
      <c r="AY31" s="644" t="s">
        <v>1701</v>
      </c>
      <c r="AZ31" s="645" t="s">
        <v>1645</v>
      </c>
      <c r="BA31" s="645" t="s">
        <v>1734</v>
      </c>
      <c r="BB31" s="645" t="s">
        <v>1734</v>
      </c>
    </row>
    <row r="32" customFormat="false" ht="12.75" hidden="false" customHeight="false" outlineLevel="0" collapsed="false">
      <c r="B32" s="642"/>
      <c r="C32" s="646"/>
      <c r="D32" s="646"/>
      <c r="E32" s="646"/>
      <c r="F32" s="646"/>
      <c r="G32" s="646"/>
      <c r="H32" s="646"/>
      <c r="I32" s="646"/>
      <c r="J32" s="646"/>
      <c r="K32" s="646"/>
      <c r="L32" s="646"/>
      <c r="M32" s="646"/>
      <c r="N32" s="646"/>
      <c r="O32" s="646"/>
      <c r="P32" s="646"/>
      <c r="Q32" s="646"/>
      <c r="R32" s="646"/>
      <c r="S32" s="646"/>
      <c r="T32" s="646"/>
      <c r="U32" s="646"/>
      <c r="V32" s="646"/>
      <c r="W32" s="647"/>
      <c r="X32" s="647"/>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7"/>
      <c r="BA32" s="647"/>
      <c r="BB32" s="647"/>
    </row>
    <row r="33" customFormat="false" ht="12.75" hidden="false" customHeight="false" outlineLevel="0" collapsed="false">
      <c r="B33" s="643" t="s">
        <v>1430</v>
      </c>
      <c r="C33" s="648" t="s">
        <v>1669</v>
      </c>
      <c r="D33" s="648" t="s">
        <v>1735</v>
      </c>
      <c r="E33" s="648" t="s">
        <v>1735</v>
      </c>
      <c r="F33" s="648" t="s">
        <v>1735</v>
      </c>
      <c r="G33" s="648" t="s">
        <v>1736</v>
      </c>
      <c r="H33" s="648" t="s">
        <v>1669</v>
      </c>
      <c r="I33" s="648" t="s">
        <v>1737</v>
      </c>
      <c r="J33" s="648" t="s">
        <v>1738</v>
      </c>
      <c r="K33" s="648" t="s">
        <v>1722</v>
      </c>
      <c r="L33" s="648" t="s">
        <v>1739</v>
      </c>
      <c r="M33" s="648" t="s">
        <v>1740</v>
      </c>
      <c r="N33" s="648" t="s">
        <v>1741</v>
      </c>
      <c r="O33" s="648" t="s">
        <v>1742</v>
      </c>
      <c r="P33" s="648" t="s">
        <v>1645</v>
      </c>
      <c r="Q33" s="648" t="s">
        <v>1743</v>
      </c>
      <c r="R33" s="648" t="s">
        <v>1731</v>
      </c>
      <c r="S33" s="648" t="s">
        <v>1744</v>
      </c>
      <c r="T33" s="648" t="s">
        <v>1722</v>
      </c>
      <c r="U33" s="648" t="s">
        <v>1722</v>
      </c>
      <c r="V33" s="648" t="s">
        <v>1722</v>
      </c>
      <c r="W33" s="649" t="s">
        <v>1744</v>
      </c>
      <c r="X33" s="649" t="s">
        <v>1744</v>
      </c>
      <c r="Y33" s="648" t="s">
        <v>1728</v>
      </c>
      <c r="Z33" s="648" t="s">
        <v>1699</v>
      </c>
      <c r="AA33" s="648" t="s">
        <v>1660</v>
      </c>
      <c r="AB33" s="648" t="s">
        <v>1660</v>
      </c>
      <c r="AC33" s="648" t="s">
        <v>1660</v>
      </c>
      <c r="AD33" s="648" t="s">
        <v>1660</v>
      </c>
      <c r="AE33" s="648" t="s">
        <v>1712</v>
      </c>
      <c r="AF33" s="648" t="s">
        <v>1712</v>
      </c>
      <c r="AG33" s="648" t="s">
        <v>1738</v>
      </c>
      <c r="AH33" s="648" t="s">
        <v>1738</v>
      </c>
      <c r="AI33" s="648" t="s">
        <v>1738</v>
      </c>
      <c r="AJ33" s="648" t="s">
        <v>1738</v>
      </c>
      <c r="AK33" s="648" t="s">
        <v>1738</v>
      </c>
      <c r="AL33" s="648" t="s">
        <v>1738</v>
      </c>
      <c r="AM33" s="648" t="s">
        <v>1738</v>
      </c>
      <c r="AN33" s="648" t="s">
        <v>1745</v>
      </c>
      <c r="AO33" s="648" t="s">
        <v>1745</v>
      </c>
      <c r="AP33" s="648" t="s">
        <v>1725</v>
      </c>
      <c r="AQ33" s="648" t="s">
        <v>1725</v>
      </c>
      <c r="AR33" s="648" t="s">
        <v>1725</v>
      </c>
      <c r="AS33" s="648" t="s">
        <v>1725</v>
      </c>
      <c r="AT33" s="648" t="s">
        <v>1744</v>
      </c>
      <c r="AU33" s="648" t="s">
        <v>1746</v>
      </c>
      <c r="AV33" s="648" t="s">
        <v>1706</v>
      </c>
      <c r="AW33" s="648" t="s">
        <v>1719</v>
      </c>
      <c r="AX33" s="648" t="s">
        <v>1719</v>
      </c>
      <c r="AY33" s="648" t="s">
        <v>1728</v>
      </c>
      <c r="AZ33" s="648" t="s">
        <v>1747</v>
      </c>
      <c r="BA33" s="648" t="s">
        <v>1748</v>
      </c>
      <c r="BB33" s="648" t="s">
        <v>1748</v>
      </c>
    </row>
    <row r="34" customFormat="false" ht="12.75" hidden="false" customHeight="false" outlineLevel="0" collapsed="false">
      <c r="B34" s="642"/>
      <c r="C34" s="636"/>
      <c r="D34" s="636"/>
      <c r="E34" s="636"/>
      <c r="F34" s="636"/>
      <c r="G34" s="636"/>
      <c r="H34" s="636"/>
      <c r="I34" s="636"/>
      <c r="J34" s="636"/>
      <c r="K34" s="636"/>
      <c r="L34" s="636"/>
      <c r="M34" s="636"/>
      <c r="N34" s="636"/>
      <c r="O34" s="636"/>
      <c r="P34" s="636"/>
      <c r="Q34" s="636"/>
      <c r="R34" s="636"/>
      <c r="S34" s="636"/>
      <c r="T34" s="636"/>
      <c r="U34" s="636"/>
      <c r="V34" s="636"/>
      <c r="W34" s="599"/>
      <c r="X34" s="599"/>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599"/>
      <c r="BA34" s="599"/>
      <c r="BB34" s="599"/>
    </row>
    <row r="35" customFormat="false" ht="12.75" hidden="false" customHeight="false" outlineLevel="0" collapsed="false">
      <c r="B35" s="643" t="s">
        <v>1434</v>
      </c>
      <c r="C35" s="644" t="s">
        <v>1749</v>
      </c>
      <c r="D35" s="644" t="s">
        <v>1750</v>
      </c>
      <c r="E35" s="644" t="s">
        <v>1750</v>
      </c>
      <c r="F35" s="644" t="s">
        <v>1750</v>
      </c>
      <c r="G35" s="644" t="s">
        <v>1751</v>
      </c>
      <c r="H35" s="644" t="s">
        <v>1752</v>
      </c>
      <c r="I35" s="644" t="s">
        <v>1669</v>
      </c>
      <c r="J35" s="644" t="s">
        <v>1701</v>
      </c>
      <c r="K35" s="644" t="s">
        <v>1706</v>
      </c>
      <c r="L35" s="644" t="s">
        <v>1727</v>
      </c>
      <c r="M35" s="644" t="s">
        <v>1743</v>
      </c>
      <c r="N35" s="644" t="s">
        <v>1753</v>
      </c>
      <c r="O35" s="644" t="s">
        <v>1754</v>
      </c>
      <c r="P35" s="644" t="s">
        <v>1701</v>
      </c>
      <c r="Q35" s="644" t="s">
        <v>1755</v>
      </c>
      <c r="R35" s="644" t="s">
        <v>1756</v>
      </c>
      <c r="S35" s="644" t="s">
        <v>1757</v>
      </c>
      <c r="T35" s="644" t="s">
        <v>1706</v>
      </c>
      <c r="U35" s="644" t="s">
        <v>1706</v>
      </c>
      <c r="V35" s="644" t="s">
        <v>1706</v>
      </c>
      <c r="W35" s="645" t="s">
        <v>1758</v>
      </c>
      <c r="X35" s="645" t="s">
        <v>1758</v>
      </c>
      <c r="Y35" s="644" t="s">
        <v>1759</v>
      </c>
      <c r="Z35" s="644" t="s">
        <v>1714</v>
      </c>
      <c r="AA35" s="644" t="s">
        <v>1760</v>
      </c>
      <c r="AB35" s="644" t="s">
        <v>1760</v>
      </c>
      <c r="AC35" s="644" t="s">
        <v>1760</v>
      </c>
      <c r="AD35" s="644" t="s">
        <v>1760</v>
      </c>
      <c r="AE35" s="644" t="s">
        <v>1722</v>
      </c>
      <c r="AF35" s="644" t="s">
        <v>1722</v>
      </c>
      <c r="AG35" s="644" t="s">
        <v>1701</v>
      </c>
      <c r="AH35" s="644" t="s">
        <v>1701</v>
      </c>
      <c r="AI35" s="644" t="s">
        <v>1701</v>
      </c>
      <c r="AJ35" s="644" t="s">
        <v>1701</v>
      </c>
      <c r="AK35" s="644" t="s">
        <v>1701</v>
      </c>
      <c r="AL35" s="644" t="s">
        <v>1701</v>
      </c>
      <c r="AM35" s="644" t="s">
        <v>1701</v>
      </c>
      <c r="AN35" s="644" t="s">
        <v>1715</v>
      </c>
      <c r="AO35" s="644" t="s">
        <v>1715</v>
      </c>
      <c r="AP35" s="644" t="s">
        <v>1724</v>
      </c>
      <c r="AQ35" s="644" t="s">
        <v>1724</v>
      </c>
      <c r="AR35" s="644" t="s">
        <v>1724</v>
      </c>
      <c r="AS35" s="644" t="s">
        <v>1724</v>
      </c>
      <c r="AT35" s="644" t="s">
        <v>1723</v>
      </c>
      <c r="AU35" s="644" t="s">
        <v>1682</v>
      </c>
      <c r="AV35" s="644" t="s">
        <v>1745</v>
      </c>
      <c r="AW35" s="644" t="s">
        <v>1682</v>
      </c>
      <c r="AX35" s="644" t="s">
        <v>1682</v>
      </c>
      <c r="AY35" s="644" t="s">
        <v>1722</v>
      </c>
      <c r="AZ35" s="645" t="s">
        <v>1761</v>
      </c>
      <c r="BA35" s="645" t="s">
        <v>1701</v>
      </c>
      <c r="BB35" s="645" t="s">
        <v>1701</v>
      </c>
    </row>
    <row r="36" customFormat="false" ht="12.75" hidden="false" customHeight="false" outlineLevel="0" collapsed="false">
      <c r="B36" s="642"/>
      <c r="C36" s="646"/>
      <c r="D36" s="646"/>
      <c r="E36" s="646"/>
      <c r="F36" s="646"/>
      <c r="G36" s="646"/>
      <c r="H36" s="646"/>
      <c r="I36" s="646"/>
      <c r="J36" s="646"/>
      <c r="K36" s="646"/>
      <c r="L36" s="646"/>
      <c r="M36" s="646"/>
      <c r="N36" s="646"/>
      <c r="O36" s="646"/>
      <c r="P36" s="646"/>
      <c r="Q36" s="646"/>
      <c r="R36" s="646"/>
      <c r="S36" s="646"/>
      <c r="T36" s="646"/>
      <c r="U36" s="646"/>
      <c r="V36" s="646"/>
      <c r="W36" s="647"/>
      <c r="X36" s="647"/>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7"/>
      <c r="BA36" s="647"/>
      <c r="BB36" s="647"/>
    </row>
    <row r="37" customFormat="false" ht="12.75" hidden="false" customHeight="false" outlineLevel="0" collapsed="false">
      <c r="B37" s="643" t="s">
        <v>1438</v>
      </c>
      <c r="C37" s="648" t="s">
        <v>1762</v>
      </c>
      <c r="D37" s="648" t="s">
        <v>1763</v>
      </c>
      <c r="E37" s="648" t="s">
        <v>1763</v>
      </c>
      <c r="F37" s="648" t="s">
        <v>1763</v>
      </c>
      <c r="G37" s="648" t="s">
        <v>1609</v>
      </c>
      <c r="H37" s="648" t="s">
        <v>1682</v>
      </c>
      <c r="I37" s="648" t="s">
        <v>1719</v>
      </c>
      <c r="J37" s="648" t="s">
        <v>1764</v>
      </c>
      <c r="K37" s="648" t="s">
        <v>1765</v>
      </c>
      <c r="L37" s="648" t="s">
        <v>1766</v>
      </c>
      <c r="M37" s="648" t="s">
        <v>1767</v>
      </c>
      <c r="N37" s="648" t="s">
        <v>1768</v>
      </c>
      <c r="O37" s="648" t="s">
        <v>1762</v>
      </c>
      <c r="P37" s="648" t="s">
        <v>1769</v>
      </c>
      <c r="Q37" s="648" t="s">
        <v>1770</v>
      </c>
      <c r="R37" s="648" t="s">
        <v>1729</v>
      </c>
      <c r="S37" s="648" t="s">
        <v>1762</v>
      </c>
      <c r="T37" s="648" t="s">
        <v>1765</v>
      </c>
      <c r="U37" s="648" t="s">
        <v>1765</v>
      </c>
      <c r="V37" s="648" t="s">
        <v>1765</v>
      </c>
      <c r="W37" s="649" t="s">
        <v>1749</v>
      </c>
      <c r="X37" s="649" t="s">
        <v>1749</v>
      </c>
      <c r="Y37" s="648" t="s">
        <v>1761</v>
      </c>
      <c r="Z37" s="648" t="s">
        <v>1771</v>
      </c>
      <c r="AA37" s="648" t="s">
        <v>1772</v>
      </c>
      <c r="AB37" s="648" t="s">
        <v>1772</v>
      </c>
      <c r="AC37" s="648" t="s">
        <v>1772</v>
      </c>
      <c r="AD37" s="648" t="s">
        <v>1772</v>
      </c>
      <c r="AE37" s="648" t="s">
        <v>1773</v>
      </c>
      <c r="AF37" s="648" t="s">
        <v>1773</v>
      </c>
      <c r="AG37" s="648" t="s">
        <v>1764</v>
      </c>
      <c r="AH37" s="648" t="s">
        <v>1764</v>
      </c>
      <c r="AI37" s="648" t="s">
        <v>1764</v>
      </c>
      <c r="AJ37" s="648" t="s">
        <v>1764</v>
      </c>
      <c r="AK37" s="648" t="s">
        <v>1764</v>
      </c>
      <c r="AL37" s="648" t="s">
        <v>1764</v>
      </c>
      <c r="AM37" s="648" t="s">
        <v>1764</v>
      </c>
      <c r="AN37" s="648" t="s">
        <v>1762</v>
      </c>
      <c r="AO37" s="648" t="s">
        <v>1762</v>
      </c>
      <c r="AP37" s="648" t="s">
        <v>1774</v>
      </c>
      <c r="AQ37" s="648" t="s">
        <v>1774</v>
      </c>
      <c r="AR37" s="648" t="s">
        <v>1774</v>
      </c>
      <c r="AS37" s="648" t="s">
        <v>1774</v>
      </c>
      <c r="AT37" s="648" t="s">
        <v>1775</v>
      </c>
      <c r="AU37" s="648" t="s">
        <v>1776</v>
      </c>
      <c r="AV37" s="648" t="s">
        <v>1741</v>
      </c>
      <c r="AW37" s="648" t="s">
        <v>1776</v>
      </c>
      <c r="AX37" s="648" t="s">
        <v>1776</v>
      </c>
      <c r="AY37" s="648" t="s">
        <v>1765</v>
      </c>
      <c r="AZ37" s="649" t="s">
        <v>1777</v>
      </c>
      <c r="BA37" s="649" t="s">
        <v>1778</v>
      </c>
      <c r="BB37" s="649" t="s">
        <v>1778</v>
      </c>
    </row>
    <row r="38" customFormat="false" ht="12.75" hidden="false" customHeight="false" outlineLevel="0" collapsed="false">
      <c r="B38" s="642"/>
      <c r="C38" s="636"/>
      <c r="D38" s="636"/>
      <c r="E38" s="636"/>
      <c r="F38" s="636"/>
      <c r="G38" s="636"/>
      <c r="H38" s="636"/>
      <c r="I38" s="636"/>
      <c r="J38" s="636"/>
      <c r="K38" s="636"/>
      <c r="L38" s="636"/>
      <c r="M38" s="636"/>
      <c r="N38" s="649"/>
      <c r="O38" s="636"/>
      <c r="P38" s="636"/>
      <c r="Q38" s="636"/>
      <c r="R38" s="636"/>
      <c r="S38" s="636"/>
      <c r="T38" s="636"/>
      <c r="U38" s="636"/>
      <c r="V38" s="636"/>
      <c r="W38" s="599"/>
      <c r="X38" s="599"/>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599"/>
      <c r="BA38" s="599"/>
      <c r="BB38" s="599"/>
    </row>
    <row r="39" customFormat="false" ht="12.75" hidden="false" customHeight="false" outlineLevel="0" collapsed="false">
      <c r="B39" s="642"/>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row>
    <row r="40" customFormat="false" ht="12.75" hidden="false" customHeight="false" outlineLevel="0" collapsed="false">
      <c r="B40" s="643" t="s">
        <v>1442</v>
      </c>
      <c r="C40" s="644" t="s">
        <v>1761</v>
      </c>
      <c r="D40" s="644" t="s">
        <v>1779</v>
      </c>
      <c r="E40" s="644" t="s">
        <v>1779</v>
      </c>
      <c r="F40" s="644" t="s">
        <v>1779</v>
      </c>
      <c r="G40" s="644" t="s">
        <v>1780</v>
      </c>
      <c r="H40" s="644" t="s">
        <v>1744</v>
      </c>
      <c r="I40" s="644" t="s">
        <v>1744</v>
      </c>
      <c r="J40" s="644" t="s">
        <v>1754</v>
      </c>
      <c r="K40" s="644" t="s">
        <v>1701</v>
      </c>
      <c r="L40" s="644" t="s">
        <v>1769</v>
      </c>
      <c r="M40" s="644" t="s">
        <v>1774</v>
      </c>
      <c r="N40" s="644" t="s">
        <v>1762</v>
      </c>
      <c r="O40" s="644" t="s">
        <v>1744</v>
      </c>
      <c r="P40" s="644" t="s">
        <v>1762</v>
      </c>
      <c r="Q40" s="644" t="s">
        <v>1768</v>
      </c>
      <c r="R40" s="644" t="s">
        <v>1772</v>
      </c>
      <c r="S40" s="644" t="s">
        <v>1772</v>
      </c>
      <c r="T40" s="644" t="s">
        <v>1701</v>
      </c>
      <c r="U40" s="644" t="s">
        <v>1701</v>
      </c>
      <c r="V40" s="644" t="s">
        <v>1701</v>
      </c>
      <c r="W40" s="645" t="s">
        <v>1703</v>
      </c>
      <c r="X40" s="645" t="s">
        <v>1703</v>
      </c>
      <c r="Y40" s="644" t="s">
        <v>1743</v>
      </c>
      <c r="Z40" s="644" t="s">
        <v>1745</v>
      </c>
      <c r="AA40" s="644" t="s">
        <v>1781</v>
      </c>
      <c r="AB40" s="644" t="s">
        <v>1781</v>
      </c>
      <c r="AC40" s="644" t="s">
        <v>1781</v>
      </c>
      <c r="AD40" s="644" t="s">
        <v>1781</v>
      </c>
      <c r="AE40" s="644" t="s">
        <v>1781</v>
      </c>
      <c r="AF40" s="644" t="s">
        <v>1781</v>
      </c>
      <c r="AG40" s="644" t="s">
        <v>1754</v>
      </c>
      <c r="AH40" s="644" t="s">
        <v>1754</v>
      </c>
      <c r="AI40" s="644" t="s">
        <v>1754</v>
      </c>
      <c r="AJ40" s="644" t="s">
        <v>1754</v>
      </c>
      <c r="AK40" s="644" t="s">
        <v>1754</v>
      </c>
      <c r="AL40" s="644" t="s">
        <v>1754</v>
      </c>
      <c r="AM40" s="644" t="s">
        <v>1754</v>
      </c>
      <c r="AN40" s="644" t="s">
        <v>1741</v>
      </c>
      <c r="AO40" s="644" t="s">
        <v>1741</v>
      </c>
      <c r="AP40" s="644" t="s">
        <v>1782</v>
      </c>
      <c r="AQ40" s="644" t="s">
        <v>1782</v>
      </c>
      <c r="AR40" s="644" t="s">
        <v>1782</v>
      </c>
      <c r="AS40" s="644" t="s">
        <v>1782</v>
      </c>
      <c r="AT40" s="644" t="s">
        <v>1781</v>
      </c>
      <c r="AU40" s="644" t="s">
        <v>1774</v>
      </c>
      <c r="AV40" s="644" t="s">
        <v>1762</v>
      </c>
      <c r="AW40" s="644" t="s">
        <v>1772</v>
      </c>
      <c r="AX40" s="644" t="s">
        <v>1772</v>
      </c>
      <c r="AY40" s="644" t="s">
        <v>1762</v>
      </c>
      <c r="AZ40" s="645" t="s">
        <v>1724</v>
      </c>
      <c r="BA40" s="645" t="s">
        <v>1783</v>
      </c>
      <c r="BB40" s="645" t="s">
        <v>1783</v>
      </c>
    </row>
    <row r="41" customFormat="false" ht="12.75" hidden="false" customHeight="false" outlineLevel="0" collapsed="false">
      <c r="B41" s="642"/>
      <c r="C41" s="646"/>
      <c r="D41" s="646"/>
      <c r="E41" s="646"/>
      <c r="F41" s="646"/>
      <c r="G41" s="646"/>
      <c r="H41" s="646"/>
      <c r="I41" s="646"/>
      <c r="J41" s="646"/>
      <c r="K41" s="646"/>
      <c r="L41" s="645"/>
      <c r="M41" s="646"/>
      <c r="N41" s="646"/>
      <c r="O41" s="646"/>
      <c r="P41" s="646"/>
      <c r="Q41" s="645"/>
      <c r="R41" s="646"/>
      <c r="S41" s="646"/>
      <c r="T41" s="646"/>
      <c r="U41" s="646"/>
      <c r="V41" s="646"/>
      <c r="W41" s="647"/>
      <c r="X41" s="647"/>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7"/>
      <c r="BA41" s="647"/>
      <c r="BB41" s="647"/>
    </row>
    <row r="42" customFormat="false" ht="12.75" hidden="false" customHeight="false" outlineLevel="0" collapsed="false">
      <c r="B42" s="643" t="s">
        <v>1445</v>
      </c>
      <c r="C42" s="648" t="s">
        <v>1784</v>
      </c>
      <c r="D42" s="648" t="s">
        <v>1785</v>
      </c>
      <c r="E42" s="648" t="s">
        <v>1785</v>
      </c>
      <c r="F42" s="648" t="s">
        <v>1785</v>
      </c>
      <c r="G42" s="648" t="s">
        <v>1786</v>
      </c>
      <c r="H42" s="648" t="s">
        <v>1762</v>
      </c>
      <c r="I42" s="648" t="s">
        <v>1787</v>
      </c>
      <c r="J42" s="648" t="s">
        <v>1774</v>
      </c>
      <c r="K42" s="648" t="s">
        <v>1762</v>
      </c>
      <c r="L42" s="648" t="s">
        <v>1757</v>
      </c>
      <c r="M42" s="648" t="s">
        <v>1786</v>
      </c>
      <c r="N42" s="648" t="s">
        <v>1717</v>
      </c>
      <c r="O42" s="648" t="s">
        <v>1772</v>
      </c>
      <c r="P42" s="648" t="s">
        <v>1765</v>
      </c>
      <c r="Q42" s="648" t="s">
        <v>1788</v>
      </c>
      <c r="R42" s="648" t="s">
        <v>1781</v>
      </c>
      <c r="S42" s="648" t="s">
        <v>1769</v>
      </c>
      <c r="T42" s="648" t="s">
        <v>1762</v>
      </c>
      <c r="U42" s="648" t="s">
        <v>1762</v>
      </c>
      <c r="V42" s="648" t="s">
        <v>1762</v>
      </c>
      <c r="W42" s="649" t="s">
        <v>1726</v>
      </c>
      <c r="X42" s="649" t="s">
        <v>1726</v>
      </c>
      <c r="Y42" s="648" t="s">
        <v>1768</v>
      </c>
      <c r="Z42" s="648" t="s">
        <v>1774</v>
      </c>
      <c r="AA42" s="648" t="s">
        <v>1789</v>
      </c>
      <c r="AB42" s="648" t="s">
        <v>1789</v>
      </c>
      <c r="AC42" s="648" t="s">
        <v>1789</v>
      </c>
      <c r="AD42" s="648" t="s">
        <v>1789</v>
      </c>
      <c r="AE42" s="648" t="s">
        <v>1772</v>
      </c>
      <c r="AF42" s="648" t="s">
        <v>1772</v>
      </c>
      <c r="AG42" s="648" t="s">
        <v>1774</v>
      </c>
      <c r="AH42" s="648" t="s">
        <v>1774</v>
      </c>
      <c r="AI42" s="648" t="s">
        <v>1774</v>
      </c>
      <c r="AJ42" s="648" t="s">
        <v>1774</v>
      </c>
      <c r="AK42" s="648" t="s">
        <v>1774</v>
      </c>
      <c r="AL42" s="648" t="s">
        <v>1774</v>
      </c>
      <c r="AM42" s="648" t="s">
        <v>1774</v>
      </c>
      <c r="AN42" s="648" t="s">
        <v>1757</v>
      </c>
      <c r="AO42" s="648" t="s">
        <v>1757</v>
      </c>
      <c r="AP42" s="648" t="s">
        <v>1767</v>
      </c>
      <c r="AQ42" s="648" t="s">
        <v>1767</v>
      </c>
      <c r="AR42" s="648" t="s">
        <v>1767</v>
      </c>
      <c r="AS42" s="648" t="s">
        <v>1767</v>
      </c>
      <c r="AT42" s="648" t="s">
        <v>1774</v>
      </c>
      <c r="AU42" s="648" t="s">
        <v>1739</v>
      </c>
      <c r="AV42" s="648" t="s">
        <v>1774</v>
      </c>
      <c r="AW42" s="648" t="s">
        <v>1781</v>
      </c>
      <c r="AX42" s="648" t="s">
        <v>1781</v>
      </c>
      <c r="AY42" s="648" t="s">
        <v>1736</v>
      </c>
      <c r="AZ42" s="649" t="s">
        <v>1786</v>
      </c>
      <c r="BA42" s="649" t="s">
        <v>1762</v>
      </c>
      <c r="BB42" s="649" t="s">
        <v>1762</v>
      </c>
    </row>
    <row r="43" customFormat="false" ht="12.75" hidden="false" customHeight="false" outlineLevel="0" collapsed="false">
      <c r="B43" s="641"/>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row>
    <row r="44" customFormat="false" ht="12.75" hidden="false" customHeight="false" outlineLevel="0" collapsed="false">
      <c r="B44" s="650"/>
      <c r="C44" s="651"/>
      <c r="D44" s="651"/>
      <c r="E44" s="651"/>
      <c r="F44" s="651"/>
      <c r="G44" s="651"/>
      <c r="H44" s="651"/>
      <c r="I44" s="651"/>
      <c r="J44" s="651"/>
      <c r="K44" s="651"/>
      <c r="L44" s="651"/>
      <c r="M44" s="651"/>
      <c r="N44" s="651"/>
      <c r="O44" s="651"/>
      <c r="P44" s="651"/>
      <c r="Q44" s="651"/>
      <c r="R44" s="651"/>
      <c r="S44" s="651"/>
      <c r="T44" s="651"/>
      <c r="U44" s="651"/>
      <c r="V44" s="651"/>
      <c r="W44" s="610"/>
      <c r="X44" s="610"/>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10"/>
      <c r="BA44" s="610"/>
      <c r="BB44" s="610"/>
    </row>
    <row r="45" customFormat="false" ht="12.75" hidden="false" customHeight="false" outlineLevel="0" collapsed="false">
      <c r="B45" s="4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row>
    <row r="46" customFormat="false" ht="12.75" hidden="false" customHeight="false" outlineLevel="0" collapsed="false">
      <c r="B46" s="595" t="s">
        <v>1790</v>
      </c>
      <c r="C46" s="638"/>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customFormat="false" ht="12.75" hidden="false" customHeight="false" outlineLevel="0" collapsed="false">
      <c r="B47" s="654"/>
      <c r="C47" s="594" t="s">
        <v>1791</v>
      </c>
      <c r="D47" s="594" t="s">
        <v>1330</v>
      </c>
      <c r="E47" s="594" t="s">
        <v>1335</v>
      </c>
      <c r="F47" s="594" t="s">
        <v>1338</v>
      </c>
      <c r="G47" s="594" t="s">
        <v>1342</v>
      </c>
      <c r="H47" s="594" t="s">
        <v>1347</v>
      </c>
      <c r="I47" s="594" t="s">
        <v>1349</v>
      </c>
      <c r="J47" s="594" t="s">
        <v>1351</v>
      </c>
      <c r="K47" s="594" t="s">
        <v>1354</v>
      </c>
      <c r="L47" s="594" t="s">
        <v>986</v>
      </c>
      <c r="M47" s="594" t="s">
        <v>1359</v>
      </c>
      <c r="N47" s="594" t="s">
        <v>990</v>
      </c>
      <c r="O47" s="594" t="s">
        <v>1362</v>
      </c>
      <c r="P47" s="594" t="s">
        <v>1370</v>
      </c>
      <c r="Q47" s="594" t="s">
        <v>996</v>
      </c>
      <c r="R47" s="594" t="s">
        <v>1391</v>
      </c>
      <c r="S47" s="594" t="s">
        <v>1395</v>
      </c>
      <c r="T47" s="594" t="s">
        <v>1397</v>
      </c>
      <c r="U47" s="594" t="s">
        <v>1401</v>
      </c>
      <c r="V47" s="594" t="s">
        <v>161</v>
      </c>
      <c r="W47" s="594" t="s">
        <v>1411</v>
      </c>
      <c r="X47" s="594" t="s">
        <v>1415</v>
      </c>
      <c r="Y47" s="594" t="s">
        <v>1005</v>
      </c>
      <c r="Z47" s="594" t="s">
        <v>1419</v>
      </c>
      <c r="AA47" s="594" t="s">
        <v>1423</v>
      </c>
      <c r="AB47" s="594" t="s">
        <v>1427</v>
      </c>
      <c r="AC47" s="594" t="s">
        <v>1431</v>
      </c>
      <c r="AD47" s="594" t="s">
        <v>1491</v>
      </c>
      <c r="AE47" s="594" t="s">
        <v>1435</v>
      </c>
      <c r="AF47" s="594" t="s">
        <v>1439</v>
      </c>
      <c r="AG47" s="594" t="s">
        <v>173</v>
      </c>
      <c r="AH47" s="594" t="s">
        <v>1446</v>
      </c>
      <c r="AI47" s="594" t="s">
        <v>1448</v>
      </c>
      <c r="AJ47" s="594" t="s">
        <v>1451</v>
      </c>
      <c r="AK47" s="594" t="s">
        <v>1460</v>
      </c>
      <c r="AL47" s="594" t="s">
        <v>1455</v>
      </c>
      <c r="AM47" s="594" t="s">
        <v>1458</v>
      </c>
      <c r="AN47" s="594" t="s">
        <v>1462</v>
      </c>
      <c r="AO47" s="594" t="s">
        <v>1464</v>
      </c>
      <c r="AP47" s="594" t="s">
        <v>1466</v>
      </c>
      <c r="AQ47" s="594" t="s">
        <v>1468</v>
      </c>
      <c r="AR47" s="594" t="s">
        <v>1470</v>
      </c>
      <c r="AS47" s="594" t="s">
        <v>1472</v>
      </c>
      <c r="AT47" s="594" t="s">
        <v>1474</v>
      </c>
      <c r="AU47" s="594" t="s">
        <v>1008</v>
      </c>
      <c r="AV47" s="603" t="s">
        <v>1477</v>
      </c>
      <c r="AW47" s="603" t="s">
        <v>1479</v>
      </c>
      <c r="AX47" s="603" t="s">
        <v>1481</v>
      </c>
      <c r="AY47" s="603" t="s">
        <v>1483</v>
      </c>
      <c r="AZ47" s="603" t="s">
        <v>1001</v>
      </c>
      <c r="BA47" s="603" t="s">
        <v>1486</v>
      </c>
      <c r="BB47" s="603" t="s">
        <v>1488</v>
      </c>
    </row>
    <row r="48" customFormat="false" ht="12.75" hidden="false" customHeight="false" outlineLevel="0" collapsed="false">
      <c r="B48" s="655" t="s">
        <v>1792</v>
      </c>
      <c r="C48" s="608" t="n">
        <v>6</v>
      </c>
      <c r="D48" s="608" t="n">
        <v>6</v>
      </c>
      <c r="E48" s="608" t="n">
        <v>6</v>
      </c>
      <c r="F48" s="608" t="n">
        <v>6</v>
      </c>
      <c r="G48" s="608" t="n">
        <v>6</v>
      </c>
      <c r="H48" s="608" t="n">
        <v>6</v>
      </c>
      <c r="I48" s="608" t="n">
        <v>7</v>
      </c>
      <c r="J48" s="608" t="n">
        <v>6</v>
      </c>
      <c r="K48" s="608" t="n">
        <v>6</v>
      </c>
      <c r="L48" s="608" t="n">
        <v>4</v>
      </c>
      <c r="M48" s="608" t="n">
        <v>8</v>
      </c>
      <c r="N48" s="608" t="n">
        <v>4</v>
      </c>
      <c r="O48" s="608" t="n">
        <v>8</v>
      </c>
      <c r="P48" s="608" t="n">
        <v>6</v>
      </c>
      <c r="Q48" s="608" t="n">
        <v>4</v>
      </c>
      <c r="R48" s="608" t="n">
        <v>9</v>
      </c>
      <c r="S48" s="608" t="n">
        <v>7</v>
      </c>
      <c r="T48" s="608" t="n">
        <v>6</v>
      </c>
      <c r="U48" s="608" t="n">
        <v>6</v>
      </c>
      <c r="V48" s="608" t="n">
        <v>6</v>
      </c>
      <c r="W48" s="608" t="n">
        <v>8</v>
      </c>
      <c r="X48" s="608" t="n">
        <v>8</v>
      </c>
      <c r="Y48" s="608" t="n">
        <v>4</v>
      </c>
      <c r="Z48" s="608" t="n">
        <v>6</v>
      </c>
      <c r="AA48" s="608" t="n">
        <v>7</v>
      </c>
      <c r="AB48" s="608" t="n">
        <v>7</v>
      </c>
      <c r="AC48" s="608" t="n">
        <v>7</v>
      </c>
      <c r="AD48" s="608" t="n">
        <v>7</v>
      </c>
      <c r="AE48" s="608" t="n">
        <v>7</v>
      </c>
      <c r="AF48" s="608" t="n">
        <v>7</v>
      </c>
      <c r="AG48" s="608" t="n">
        <v>6</v>
      </c>
      <c r="AH48" s="608" t="n">
        <v>6</v>
      </c>
      <c r="AI48" s="608" t="n">
        <v>6</v>
      </c>
      <c r="AJ48" s="608" t="n">
        <v>6</v>
      </c>
      <c r="AK48" s="608" t="n">
        <v>6</v>
      </c>
      <c r="AL48" s="608" t="n">
        <v>6</v>
      </c>
      <c r="AM48" s="608" t="n">
        <v>6</v>
      </c>
      <c r="AN48" s="608" t="n">
        <v>6</v>
      </c>
      <c r="AO48" s="608" t="n">
        <v>6</v>
      </c>
      <c r="AP48" s="608" t="n">
        <v>6</v>
      </c>
      <c r="AQ48" s="608" t="n">
        <v>6</v>
      </c>
      <c r="AR48" s="608" t="n">
        <v>6</v>
      </c>
      <c r="AS48" s="608" t="n">
        <v>6</v>
      </c>
      <c r="AT48" s="608" t="n">
        <v>9</v>
      </c>
      <c r="AU48" s="608" t="n">
        <v>6</v>
      </c>
      <c r="AV48" s="609" t="n">
        <v>6</v>
      </c>
      <c r="AW48" s="609" t="n">
        <v>9</v>
      </c>
      <c r="AX48" s="609" t="n">
        <v>9</v>
      </c>
      <c r="AY48" s="609" t="n">
        <v>6</v>
      </c>
      <c r="AZ48" s="609" t="n">
        <v>4</v>
      </c>
      <c r="BA48" s="609" t="n">
        <v>7</v>
      </c>
      <c r="BB48" s="609" t="n">
        <v>7</v>
      </c>
    </row>
    <row r="49" customFormat="false" ht="12.75" hidden="false" customHeight="false" outlineLevel="0" collapsed="false">
      <c r="B49" s="655" t="s">
        <v>975</v>
      </c>
      <c r="C49" s="656" t="n">
        <v>5</v>
      </c>
      <c r="D49" s="656" t="n">
        <v>5</v>
      </c>
      <c r="E49" s="656" t="n">
        <v>5</v>
      </c>
      <c r="F49" s="656" t="n">
        <v>5</v>
      </c>
      <c r="G49" s="656" t="n">
        <v>5</v>
      </c>
      <c r="H49" s="656" t="n">
        <v>5</v>
      </c>
      <c r="I49" s="656" t="n">
        <v>6</v>
      </c>
      <c r="J49" s="656" t="n">
        <v>5</v>
      </c>
      <c r="K49" s="656" t="n">
        <v>5</v>
      </c>
      <c r="L49" s="656" t="n">
        <v>3</v>
      </c>
      <c r="M49" s="656" t="n">
        <v>6</v>
      </c>
      <c r="N49" s="656" t="n">
        <v>3</v>
      </c>
      <c r="O49" s="656" t="n">
        <v>6</v>
      </c>
      <c r="P49" s="656" t="n">
        <v>5</v>
      </c>
      <c r="Q49" s="656" t="n">
        <v>3</v>
      </c>
      <c r="R49" s="656" t="n">
        <v>7</v>
      </c>
      <c r="S49" s="656" t="n">
        <v>6</v>
      </c>
      <c r="T49" s="656" t="n">
        <v>5</v>
      </c>
      <c r="U49" s="656" t="n">
        <v>5</v>
      </c>
      <c r="V49" s="656" t="n">
        <v>5</v>
      </c>
      <c r="W49" s="656" t="n">
        <v>6</v>
      </c>
      <c r="X49" s="656" t="n">
        <v>6</v>
      </c>
      <c r="Y49" s="656" t="n">
        <v>3</v>
      </c>
      <c r="Z49" s="656" t="n">
        <v>5</v>
      </c>
      <c r="AA49" s="656" t="n">
        <v>6</v>
      </c>
      <c r="AB49" s="656" t="n">
        <v>6</v>
      </c>
      <c r="AC49" s="656" t="n">
        <v>6</v>
      </c>
      <c r="AD49" s="656" t="n">
        <v>6</v>
      </c>
      <c r="AE49" s="656" t="n">
        <v>6</v>
      </c>
      <c r="AF49" s="656" t="n">
        <v>6</v>
      </c>
      <c r="AG49" s="656" t="n">
        <v>5</v>
      </c>
      <c r="AH49" s="656" t="n">
        <v>5</v>
      </c>
      <c r="AI49" s="656" t="n">
        <v>5</v>
      </c>
      <c r="AJ49" s="656" t="n">
        <v>5</v>
      </c>
      <c r="AK49" s="656" t="n">
        <v>5</v>
      </c>
      <c r="AL49" s="656" t="n">
        <v>5</v>
      </c>
      <c r="AM49" s="656" t="n">
        <v>5</v>
      </c>
      <c r="AN49" s="656" t="n">
        <v>5</v>
      </c>
      <c r="AO49" s="656" t="n">
        <v>5</v>
      </c>
      <c r="AP49" s="656" t="n">
        <v>5</v>
      </c>
      <c r="AQ49" s="656" t="n">
        <v>5</v>
      </c>
      <c r="AR49" s="656" t="n">
        <v>5</v>
      </c>
      <c r="AS49" s="656" t="n">
        <v>5</v>
      </c>
      <c r="AT49" s="656" t="n">
        <v>7</v>
      </c>
      <c r="AU49" s="656" t="n">
        <v>5</v>
      </c>
      <c r="AV49" s="656" t="n">
        <v>5</v>
      </c>
      <c r="AW49" s="656" t="n">
        <v>7</v>
      </c>
      <c r="AX49" s="656" t="n">
        <v>7</v>
      </c>
      <c r="AY49" s="656" t="n">
        <v>5</v>
      </c>
      <c r="AZ49" s="656" t="n">
        <v>3</v>
      </c>
      <c r="BA49" s="656" t="n">
        <v>6</v>
      </c>
      <c r="BB49" s="656" t="n">
        <v>6</v>
      </c>
    </row>
    <row r="50" customFormat="false" ht="12.75" hidden="false" customHeight="false" outlineLevel="0" collapsed="false">
      <c r="B50" s="32"/>
      <c r="C50" s="657"/>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row r="51" customFormat="false" ht="12.75" hidden="false" customHeight="false" outlineLevel="0" collapsed="false">
      <c r="B51" s="32"/>
      <c r="C51" s="657"/>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row>
    <row r="52" customFormat="false" ht="12.75" hidden="false" customHeight="false" outlineLevel="0" collapsed="false">
      <c r="B52" s="637" t="s">
        <v>1793</v>
      </c>
      <c r="C52" s="63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row>
    <row r="53" customFormat="false" ht="12.75" hidden="false" customHeight="false" outlineLevel="0" collapsed="false">
      <c r="B53" s="654"/>
      <c r="C53" s="594" t="s">
        <v>1791</v>
      </c>
      <c r="D53" s="594" t="s">
        <v>1330</v>
      </c>
      <c r="E53" s="594" t="s">
        <v>1335</v>
      </c>
      <c r="F53" s="594" t="s">
        <v>1338</v>
      </c>
      <c r="G53" s="594" t="s">
        <v>1342</v>
      </c>
      <c r="H53" s="594" t="s">
        <v>1347</v>
      </c>
      <c r="I53" s="594" t="s">
        <v>1349</v>
      </c>
      <c r="J53" s="594" t="s">
        <v>1351</v>
      </c>
      <c r="K53" s="594" t="s">
        <v>1354</v>
      </c>
      <c r="L53" s="594" t="s">
        <v>986</v>
      </c>
      <c r="M53" s="594" t="s">
        <v>1359</v>
      </c>
      <c r="N53" s="594" t="s">
        <v>1794</v>
      </c>
      <c r="O53" s="594" t="s">
        <v>1362</v>
      </c>
      <c r="P53" s="594" t="s">
        <v>1370</v>
      </c>
      <c r="Q53" s="594" t="s">
        <v>996</v>
      </c>
      <c r="R53" s="594" t="s">
        <v>1391</v>
      </c>
      <c r="S53" s="594" t="s">
        <v>1395</v>
      </c>
      <c r="T53" s="594" t="s">
        <v>1397</v>
      </c>
      <c r="U53" s="594" t="s">
        <v>1401</v>
      </c>
      <c r="V53" s="594" t="s">
        <v>161</v>
      </c>
      <c r="W53" s="594" t="s">
        <v>1411</v>
      </c>
      <c r="X53" s="594" t="s">
        <v>1415</v>
      </c>
      <c r="Y53" s="594" t="s">
        <v>1005</v>
      </c>
      <c r="Z53" s="594" t="s">
        <v>1419</v>
      </c>
      <c r="AA53" s="594" t="s">
        <v>1423</v>
      </c>
      <c r="AB53" s="594" t="s">
        <v>1427</v>
      </c>
      <c r="AC53" s="594" t="s">
        <v>1431</v>
      </c>
      <c r="AD53" s="594" t="s">
        <v>1491</v>
      </c>
      <c r="AE53" s="594" t="s">
        <v>1435</v>
      </c>
      <c r="AF53" s="594" t="s">
        <v>1439</v>
      </c>
      <c r="AG53" s="594" t="s">
        <v>173</v>
      </c>
      <c r="AH53" s="594" t="s">
        <v>1446</v>
      </c>
      <c r="AI53" s="594" t="s">
        <v>1448</v>
      </c>
      <c r="AJ53" s="594" t="s">
        <v>1451</v>
      </c>
      <c r="AK53" s="594" t="s">
        <v>1460</v>
      </c>
      <c r="AL53" s="594" t="s">
        <v>1455</v>
      </c>
      <c r="AM53" s="594" t="s">
        <v>1458</v>
      </c>
      <c r="AN53" s="594" t="s">
        <v>1462</v>
      </c>
      <c r="AO53" s="594" t="s">
        <v>1464</v>
      </c>
      <c r="AP53" s="594" t="s">
        <v>1466</v>
      </c>
      <c r="AQ53" s="594" t="s">
        <v>1468</v>
      </c>
      <c r="AR53" s="594" t="s">
        <v>1470</v>
      </c>
      <c r="AS53" s="594" t="s">
        <v>1472</v>
      </c>
      <c r="AT53" s="594" t="s">
        <v>1474</v>
      </c>
      <c r="AU53" s="594" t="s">
        <v>1008</v>
      </c>
      <c r="AV53" s="603" t="s">
        <v>1477</v>
      </c>
      <c r="AW53" s="603" t="s">
        <v>1479</v>
      </c>
      <c r="AX53" s="603" t="s">
        <v>1481</v>
      </c>
      <c r="AY53" s="603" t="s">
        <v>1483</v>
      </c>
      <c r="AZ53" s="603" t="s">
        <v>1001</v>
      </c>
      <c r="BA53" s="603" t="s">
        <v>1486</v>
      </c>
      <c r="BB53" s="603" t="s">
        <v>1488</v>
      </c>
    </row>
    <row r="54" customFormat="false" ht="12.75" hidden="false" customHeight="false" outlineLevel="0" collapsed="false">
      <c r="B54" s="659" t="s">
        <v>985</v>
      </c>
      <c r="C54" s="597" t="s">
        <v>1795</v>
      </c>
      <c r="D54" s="597" t="s">
        <v>1795</v>
      </c>
      <c r="E54" s="597" t="s">
        <v>1795</v>
      </c>
      <c r="F54" s="597" t="s">
        <v>1795</v>
      </c>
      <c r="G54" s="660" t="s">
        <v>1795</v>
      </c>
      <c r="H54" s="660" t="s">
        <v>1795</v>
      </c>
      <c r="I54" s="597" t="s">
        <v>1795</v>
      </c>
      <c r="J54" s="660" t="s">
        <v>1795</v>
      </c>
      <c r="K54" s="597" t="s">
        <v>1795</v>
      </c>
      <c r="L54" s="597" t="s">
        <v>1795</v>
      </c>
      <c r="M54" s="597" t="s">
        <v>1795</v>
      </c>
      <c r="N54" s="597" t="s">
        <v>1795</v>
      </c>
      <c r="O54" s="597" t="s">
        <v>1795</v>
      </c>
      <c r="P54" s="597" t="s">
        <v>1795</v>
      </c>
      <c r="Q54" s="597" t="s">
        <v>1795</v>
      </c>
      <c r="R54" s="597" t="s">
        <v>1795</v>
      </c>
      <c r="S54" s="597" t="s">
        <v>1795</v>
      </c>
      <c r="T54" s="597" t="s">
        <v>1795</v>
      </c>
      <c r="U54" s="597" t="s">
        <v>1795</v>
      </c>
      <c r="V54" s="597" t="s">
        <v>1795</v>
      </c>
      <c r="W54" s="597" t="s">
        <v>1795</v>
      </c>
      <c r="X54" s="597" t="s">
        <v>1795</v>
      </c>
      <c r="Y54" s="597" t="s">
        <v>1795</v>
      </c>
      <c r="Z54" s="597" t="s">
        <v>1795</v>
      </c>
      <c r="AA54" s="597" t="s">
        <v>1795</v>
      </c>
      <c r="AB54" s="597" t="s">
        <v>1795</v>
      </c>
      <c r="AC54" s="597" t="s">
        <v>1795</v>
      </c>
      <c r="AD54" s="597" t="s">
        <v>1795</v>
      </c>
      <c r="AE54" s="597" t="s">
        <v>1795</v>
      </c>
      <c r="AF54" s="597" t="s">
        <v>1795</v>
      </c>
      <c r="AG54" s="660" t="s">
        <v>1795</v>
      </c>
      <c r="AH54" s="660" t="s">
        <v>1795</v>
      </c>
      <c r="AI54" s="660" t="s">
        <v>1795</v>
      </c>
      <c r="AJ54" s="660" t="s">
        <v>1795</v>
      </c>
      <c r="AK54" s="660" t="s">
        <v>1795</v>
      </c>
      <c r="AL54" s="660" t="s">
        <v>1795</v>
      </c>
      <c r="AM54" s="660" t="s">
        <v>1795</v>
      </c>
      <c r="AN54" s="660" t="s">
        <v>1795</v>
      </c>
      <c r="AO54" s="660" t="s">
        <v>1795</v>
      </c>
      <c r="AP54" s="597" t="s">
        <v>1795</v>
      </c>
      <c r="AQ54" s="597" t="s">
        <v>1795</v>
      </c>
      <c r="AR54" s="597" t="s">
        <v>1795</v>
      </c>
      <c r="AS54" s="597" t="s">
        <v>1795</v>
      </c>
      <c r="AT54" s="597" t="s">
        <v>1795</v>
      </c>
      <c r="AU54" s="597" t="s">
        <v>1795</v>
      </c>
      <c r="AV54" s="597" t="s">
        <v>1795</v>
      </c>
      <c r="AW54" s="597" t="s">
        <v>1795</v>
      </c>
      <c r="AX54" s="597" t="s">
        <v>1795</v>
      </c>
      <c r="AY54" s="597" t="n">
        <v>0</v>
      </c>
      <c r="AZ54" s="597" t="s">
        <v>1795</v>
      </c>
      <c r="BA54" s="597" t="s">
        <v>1795</v>
      </c>
      <c r="BB54" s="597" t="s">
        <v>1795</v>
      </c>
    </row>
    <row r="55" customFormat="false" ht="12.75" hidden="false" customHeight="false" outlineLevel="0" collapsed="false">
      <c r="B55" s="659" t="s">
        <v>989</v>
      </c>
      <c r="C55" s="597" t="n">
        <v>10000</v>
      </c>
      <c r="D55" s="597" t="n">
        <v>10000</v>
      </c>
      <c r="E55" s="597" t="n">
        <v>10000</v>
      </c>
      <c r="F55" s="597" t="n">
        <v>10000</v>
      </c>
      <c r="G55" s="597" t="n">
        <v>10000</v>
      </c>
      <c r="H55" s="597" t="n">
        <v>10000</v>
      </c>
      <c r="I55" s="597" t="n">
        <v>10000</v>
      </c>
      <c r="J55" s="660" t="s">
        <v>1796</v>
      </c>
      <c r="K55" s="597" t="n">
        <v>10000</v>
      </c>
      <c r="L55" s="597" t="s">
        <v>1797</v>
      </c>
      <c r="M55" s="597" t="s">
        <v>1797</v>
      </c>
      <c r="N55" s="597" t="s">
        <v>1797</v>
      </c>
      <c r="O55" s="597" t="n">
        <v>10000</v>
      </c>
      <c r="P55" s="597" t="n">
        <v>10000</v>
      </c>
      <c r="Q55" s="597" t="s">
        <v>1797</v>
      </c>
      <c r="R55" s="597" t="n">
        <v>10000</v>
      </c>
      <c r="S55" s="597" t="n">
        <v>10000</v>
      </c>
      <c r="T55" s="597" t="n">
        <v>10000</v>
      </c>
      <c r="U55" s="597" t="n">
        <v>10000</v>
      </c>
      <c r="V55" s="597" t="n">
        <v>10000</v>
      </c>
      <c r="W55" s="597" t="n">
        <v>10000</v>
      </c>
      <c r="X55" s="597" t="n">
        <v>10000</v>
      </c>
      <c r="Y55" s="597" t="s">
        <v>1797</v>
      </c>
      <c r="Z55" s="597" t="s">
        <v>1798</v>
      </c>
      <c r="AA55" s="597" t="s">
        <v>1798</v>
      </c>
      <c r="AB55" s="597" t="s">
        <v>1798</v>
      </c>
      <c r="AC55" s="597" t="s">
        <v>1798</v>
      </c>
      <c r="AD55" s="597" t="s">
        <v>1798</v>
      </c>
      <c r="AE55" s="597" t="n">
        <v>10000</v>
      </c>
      <c r="AF55" s="597" t="n">
        <v>10000</v>
      </c>
      <c r="AG55" s="660" t="s">
        <v>1796</v>
      </c>
      <c r="AH55" s="660" t="s">
        <v>1796</v>
      </c>
      <c r="AI55" s="660" t="s">
        <v>1796</v>
      </c>
      <c r="AJ55" s="660" t="s">
        <v>1796</v>
      </c>
      <c r="AK55" s="660" t="s">
        <v>1796</v>
      </c>
      <c r="AL55" s="660" t="s">
        <v>1796</v>
      </c>
      <c r="AM55" s="660" t="s">
        <v>1796</v>
      </c>
      <c r="AN55" s="660" t="s">
        <v>1798</v>
      </c>
      <c r="AO55" s="660" t="s">
        <v>1798</v>
      </c>
      <c r="AP55" s="597" t="s">
        <v>1798</v>
      </c>
      <c r="AQ55" s="597" t="s">
        <v>1798</v>
      </c>
      <c r="AR55" s="597" t="s">
        <v>1798</v>
      </c>
      <c r="AS55" s="597" t="s">
        <v>1798</v>
      </c>
      <c r="AT55" s="597" t="n">
        <v>10000</v>
      </c>
      <c r="AU55" s="597" t="s">
        <v>1797</v>
      </c>
      <c r="AV55" s="597" t="s">
        <v>1798</v>
      </c>
      <c r="AW55" s="597" t="n">
        <v>10000</v>
      </c>
      <c r="AX55" s="597" t="n">
        <v>10000</v>
      </c>
      <c r="AY55" s="597" t="n">
        <v>10000</v>
      </c>
      <c r="AZ55" s="597" t="s">
        <v>1797</v>
      </c>
      <c r="BA55" s="597" t="s">
        <v>1795</v>
      </c>
      <c r="BB55" s="597" t="s">
        <v>1795</v>
      </c>
    </row>
    <row r="56" customFormat="false" ht="12.75" hidden="false" customHeight="false" outlineLevel="0" collapsed="false">
      <c r="B56" s="659" t="s">
        <v>1400</v>
      </c>
      <c r="C56" s="597" t="n">
        <v>10000</v>
      </c>
      <c r="D56" s="597" t="n">
        <v>10000</v>
      </c>
      <c r="E56" s="597" t="n">
        <v>10000</v>
      </c>
      <c r="F56" s="597" t="n">
        <v>10000</v>
      </c>
      <c r="G56" s="597" t="n">
        <v>10000</v>
      </c>
      <c r="H56" s="597" t="n">
        <v>10000</v>
      </c>
      <c r="I56" s="597" t="n">
        <v>10000</v>
      </c>
      <c r="J56" s="660" t="s">
        <v>1796</v>
      </c>
      <c r="K56" s="597" t="n">
        <v>10000</v>
      </c>
      <c r="L56" s="597" t="s">
        <v>1797</v>
      </c>
      <c r="M56" s="597" t="s">
        <v>1797</v>
      </c>
      <c r="N56" s="597" t="s">
        <v>1797</v>
      </c>
      <c r="O56" s="597" t="n">
        <v>10000</v>
      </c>
      <c r="P56" s="597" t="n">
        <v>10000</v>
      </c>
      <c r="Q56" s="597" t="s">
        <v>1797</v>
      </c>
      <c r="R56" s="597" t="n">
        <v>10000</v>
      </c>
      <c r="S56" s="597" t="n">
        <v>10000</v>
      </c>
      <c r="T56" s="597" t="n">
        <v>10000</v>
      </c>
      <c r="U56" s="597" t="n">
        <v>10000</v>
      </c>
      <c r="V56" s="597" t="n">
        <v>10000</v>
      </c>
      <c r="W56" s="597" t="n">
        <v>10000</v>
      </c>
      <c r="X56" s="597" t="n">
        <v>10000</v>
      </c>
      <c r="Y56" s="597" t="s">
        <v>1797</v>
      </c>
      <c r="Z56" s="597" t="s">
        <v>1798</v>
      </c>
      <c r="AA56" s="597" t="s">
        <v>1798</v>
      </c>
      <c r="AB56" s="597" t="s">
        <v>1798</v>
      </c>
      <c r="AC56" s="597" t="s">
        <v>1798</v>
      </c>
      <c r="AD56" s="597" t="s">
        <v>1798</v>
      </c>
      <c r="AE56" s="597" t="n">
        <v>10000</v>
      </c>
      <c r="AF56" s="597" t="n">
        <v>10000</v>
      </c>
      <c r="AG56" s="660" t="s">
        <v>1796</v>
      </c>
      <c r="AH56" s="660" t="s">
        <v>1796</v>
      </c>
      <c r="AI56" s="660" t="s">
        <v>1796</v>
      </c>
      <c r="AJ56" s="660" t="s">
        <v>1796</v>
      </c>
      <c r="AK56" s="660" t="s">
        <v>1796</v>
      </c>
      <c r="AL56" s="660" t="s">
        <v>1796</v>
      </c>
      <c r="AM56" s="660" t="s">
        <v>1796</v>
      </c>
      <c r="AN56" s="660" t="s">
        <v>1798</v>
      </c>
      <c r="AO56" s="660" t="s">
        <v>1798</v>
      </c>
      <c r="AP56" s="597" t="s">
        <v>1798</v>
      </c>
      <c r="AQ56" s="597" t="s">
        <v>1798</v>
      </c>
      <c r="AR56" s="597" t="s">
        <v>1798</v>
      </c>
      <c r="AS56" s="597" t="s">
        <v>1798</v>
      </c>
      <c r="AT56" s="597" t="n">
        <v>10000</v>
      </c>
      <c r="AU56" s="597" t="s">
        <v>1797</v>
      </c>
      <c r="AV56" s="597" t="s">
        <v>1798</v>
      </c>
      <c r="AW56" s="597" t="n">
        <v>10000</v>
      </c>
      <c r="AX56" s="597" t="n">
        <v>10000</v>
      </c>
      <c r="AY56" s="597" t="n">
        <v>10000</v>
      </c>
      <c r="AZ56" s="597" t="s">
        <v>1797</v>
      </c>
      <c r="BA56" s="597" t="s">
        <v>1795</v>
      </c>
      <c r="BB56" s="597" t="s">
        <v>1795</v>
      </c>
    </row>
    <row r="57" customFormat="false" ht="12.75" hidden="false" customHeight="false" outlineLevel="0" collapsed="false">
      <c r="B57" s="659" t="s">
        <v>1404</v>
      </c>
      <c r="C57" s="333" t="s">
        <v>1799</v>
      </c>
      <c r="D57" s="333" t="s">
        <v>1799</v>
      </c>
      <c r="E57" s="333" t="s">
        <v>1799</v>
      </c>
      <c r="F57" s="333" t="s">
        <v>1799</v>
      </c>
      <c r="G57" s="333" t="s">
        <v>1800</v>
      </c>
      <c r="H57" s="333" t="s">
        <v>1799</v>
      </c>
      <c r="I57" s="333" t="s">
        <v>1800</v>
      </c>
      <c r="J57" s="661" t="s">
        <v>1799</v>
      </c>
      <c r="K57" s="333" t="s">
        <v>1801</v>
      </c>
      <c r="L57" s="333" t="s">
        <v>1802</v>
      </c>
      <c r="M57" s="333" t="s">
        <v>1803</v>
      </c>
      <c r="N57" s="333" t="s">
        <v>1802</v>
      </c>
      <c r="O57" s="333" t="s">
        <v>1800</v>
      </c>
      <c r="P57" s="333" t="s">
        <v>1804</v>
      </c>
      <c r="Q57" s="333" t="s">
        <v>1803</v>
      </c>
      <c r="R57" s="333" t="s">
        <v>1805</v>
      </c>
      <c r="S57" s="333" t="s">
        <v>1805</v>
      </c>
      <c r="T57" s="333" t="s">
        <v>1801</v>
      </c>
      <c r="U57" s="333" t="s">
        <v>1801</v>
      </c>
      <c r="V57" s="333" t="s">
        <v>1801</v>
      </c>
      <c r="W57" s="333" t="s">
        <v>1806</v>
      </c>
      <c r="X57" s="333" t="s">
        <v>1806</v>
      </c>
      <c r="Y57" s="333" t="s">
        <v>1803</v>
      </c>
      <c r="Z57" s="333" t="s">
        <v>1807</v>
      </c>
      <c r="AA57" s="333" t="s">
        <v>1808</v>
      </c>
      <c r="AB57" s="333" t="s">
        <v>1808</v>
      </c>
      <c r="AC57" s="333" t="s">
        <v>1808</v>
      </c>
      <c r="AD57" s="333" t="s">
        <v>1808</v>
      </c>
      <c r="AE57" s="333" t="s">
        <v>1799</v>
      </c>
      <c r="AF57" s="333" t="s">
        <v>1799</v>
      </c>
      <c r="AG57" s="661" t="s">
        <v>1799</v>
      </c>
      <c r="AH57" s="661" t="s">
        <v>1799</v>
      </c>
      <c r="AI57" s="661" t="s">
        <v>1799</v>
      </c>
      <c r="AJ57" s="661" t="s">
        <v>1799</v>
      </c>
      <c r="AK57" s="661" t="s">
        <v>1800</v>
      </c>
      <c r="AL57" s="661" t="s">
        <v>1799</v>
      </c>
      <c r="AM57" s="661" t="s">
        <v>1799</v>
      </c>
      <c r="AN57" s="661" t="s">
        <v>1809</v>
      </c>
      <c r="AO57" s="661" t="s">
        <v>1809</v>
      </c>
      <c r="AP57" s="333" t="s">
        <v>1807</v>
      </c>
      <c r="AQ57" s="333" t="s">
        <v>1807</v>
      </c>
      <c r="AR57" s="333" t="s">
        <v>1807</v>
      </c>
      <c r="AS57" s="333" t="s">
        <v>1807</v>
      </c>
      <c r="AT57" s="333" t="s">
        <v>1805</v>
      </c>
      <c r="AU57" s="333" t="s">
        <v>1803</v>
      </c>
      <c r="AV57" s="333" t="s">
        <v>1807</v>
      </c>
      <c r="AW57" s="333" t="s">
        <v>1806</v>
      </c>
      <c r="AX57" s="333" t="s">
        <v>1806</v>
      </c>
      <c r="AY57" s="333" t="s">
        <v>1804</v>
      </c>
      <c r="AZ57" s="333" t="s">
        <v>1802</v>
      </c>
      <c r="BA57" s="333" t="s">
        <v>1795</v>
      </c>
      <c r="BB57" s="333" t="s">
        <v>1795</v>
      </c>
    </row>
    <row r="58" customFormat="false" ht="12.75" hidden="false" customHeight="false" outlineLevel="0" collapsed="false">
      <c r="B58" s="659" t="s">
        <v>1407</v>
      </c>
      <c r="C58" s="333" t="s">
        <v>1799</v>
      </c>
      <c r="D58" s="333" t="s">
        <v>1799</v>
      </c>
      <c r="E58" s="333" t="s">
        <v>1799</v>
      </c>
      <c r="F58" s="333" t="s">
        <v>1799</v>
      </c>
      <c r="G58" s="333" t="s">
        <v>1800</v>
      </c>
      <c r="H58" s="333" t="s">
        <v>1799</v>
      </c>
      <c r="I58" s="333" t="s">
        <v>1800</v>
      </c>
      <c r="J58" s="661" t="s">
        <v>1799</v>
      </c>
      <c r="K58" s="333" t="s">
        <v>1804</v>
      </c>
      <c r="L58" s="333" t="s">
        <v>1802</v>
      </c>
      <c r="M58" s="333" t="s">
        <v>1803</v>
      </c>
      <c r="N58" s="333" t="s">
        <v>1802</v>
      </c>
      <c r="O58" s="333" t="s">
        <v>1800</v>
      </c>
      <c r="P58" s="333" t="s">
        <v>1804</v>
      </c>
      <c r="Q58" s="333" t="s">
        <v>1803</v>
      </c>
      <c r="R58" s="333" t="s">
        <v>1805</v>
      </c>
      <c r="S58" s="333" t="s">
        <v>1805</v>
      </c>
      <c r="T58" s="333" t="s">
        <v>1804</v>
      </c>
      <c r="U58" s="333" t="s">
        <v>1804</v>
      </c>
      <c r="V58" s="333" t="s">
        <v>1804</v>
      </c>
      <c r="W58" s="333" t="s">
        <v>1806</v>
      </c>
      <c r="X58" s="333" t="s">
        <v>1806</v>
      </c>
      <c r="Y58" s="333" t="s">
        <v>1803</v>
      </c>
      <c r="Z58" s="333" t="s">
        <v>1807</v>
      </c>
      <c r="AA58" s="333" t="s">
        <v>1808</v>
      </c>
      <c r="AB58" s="333" t="s">
        <v>1808</v>
      </c>
      <c r="AC58" s="333" t="s">
        <v>1808</v>
      </c>
      <c r="AD58" s="333" t="s">
        <v>1808</v>
      </c>
      <c r="AE58" s="333" t="s">
        <v>1799</v>
      </c>
      <c r="AF58" s="333" t="s">
        <v>1799</v>
      </c>
      <c r="AG58" s="661" t="s">
        <v>1799</v>
      </c>
      <c r="AH58" s="661" t="s">
        <v>1799</v>
      </c>
      <c r="AI58" s="661" t="s">
        <v>1799</v>
      </c>
      <c r="AJ58" s="661" t="s">
        <v>1799</v>
      </c>
      <c r="AK58" s="661" t="s">
        <v>1800</v>
      </c>
      <c r="AL58" s="661" t="s">
        <v>1799</v>
      </c>
      <c r="AM58" s="661" t="s">
        <v>1799</v>
      </c>
      <c r="AN58" s="661" t="s">
        <v>1809</v>
      </c>
      <c r="AO58" s="661" t="s">
        <v>1809</v>
      </c>
      <c r="AP58" s="333" t="s">
        <v>1807</v>
      </c>
      <c r="AQ58" s="333" t="s">
        <v>1807</v>
      </c>
      <c r="AR58" s="333" t="s">
        <v>1807</v>
      </c>
      <c r="AS58" s="333" t="s">
        <v>1807</v>
      </c>
      <c r="AT58" s="333" t="s">
        <v>1805</v>
      </c>
      <c r="AU58" s="333" t="s">
        <v>1803</v>
      </c>
      <c r="AV58" s="333" t="s">
        <v>1807</v>
      </c>
      <c r="AW58" s="333" t="s">
        <v>1806</v>
      </c>
      <c r="AX58" s="333" t="s">
        <v>1806</v>
      </c>
      <c r="AY58" s="333" t="s">
        <v>1804</v>
      </c>
      <c r="AZ58" s="333" t="s">
        <v>1802</v>
      </c>
      <c r="BA58" s="333" t="s">
        <v>1810</v>
      </c>
      <c r="BB58" s="333" t="s">
        <v>1810</v>
      </c>
    </row>
    <row r="59" customFormat="false" ht="12.75" hidden="false" customHeight="false" outlineLevel="0" collapsed="false">
      <c r="B59" s="659" t="s">
        <v>1410</v>
      </c>
      <c r="C59" s="333" t="s">
        <v>1811</v>
      </c>
      <c r="D59" s="333" t="s">
        <v>1812</v>
      </c>
      <c r="E59" s="333" t="s">
        <v>1812</v>
      </c>
      <c r="F59" s="333" t="s">
        <v>1812</v>
      </c>
      <c r="G59" s="333" t="s">
        <v>1813</v>
      </c>
      <c r="H59" s="333" t="s">
        <v>1811</v>
      </c>
      <c r="I59" s="333" t="s">
        <v>1814</v>
      </c>
      <c r="J59" s="661" t="s">
        <v>1811</v>
      </c>
      <c r="K59" s="333" t="s">
        <v>1815</v>
      </c>
      <c r="L59" s="333" t="s">
        <v>1816</v>
      </c>
      <c r="M59" s="333" t="s">
        <v>1817</v>
      </c>
      <c r="N59" s="333" t="s">
        <v>1816</v>
      </c>
      <c r="O59" s="333" t="s">
        <v>1813</v>
      </c>
      <c r="P59" s="333" t="s">
        <v>1818</v>
      </c>
      <c r="Q59" s="333" t="s">
        <v>1816</v>
      </c>
      <c r="R59" s="333" t="s">
        <v>1819</v>
      </c>
      <c r="S59" s="333" t="s">
        <v>1820</v>
      </c>
      <c r="T59" s="333" t="s">
        <v>1815</v>
      </c>
      <c r="U59" s="333" t="s">
        <v>1815</v>
      </c>
      <c r="V59" s="333" t="s">
        <v>1815</v>
      </c>
      <c r="W59" s="333" t="s">
        <v>1821</v>
      </c>
      <c r="X59" s="333" t="s">
        <v>1821</v>
      </c>
      <c r="Y59" s="333" t="s">
        <v>1817</v>
      </c>
      <c r="Z59" s="333" t="s">
        <v>1822</v>
      </c>
      <c r="AA59" s="333" t="s">
        <v>1823</v>
      </c>
      <c r="AB59" s="333" t="s">
        <v>1823</v>
      </c>
      <c r="AC59" s="333" t="s">
        <v>1823</v>
      </c>
      <c r="AD59" s="333" t="s">
        <v>1823</v>
      </c>
      <c r="AE59" s="333" t="s">
        <v>1824</v>
      </c>
      <c r="AF59" s="333" t="s">
        <v>1824</v>
      </c>
      <c r="AG59" s="661" t="s">
        <v>1812</v>
      </c>
      <c r="AH59" s="661" t="s">
        <v>1812</v>
      </c>
      <c r="AI59" s="661" t="s">
        <v>1812</v>
      </c>
      <c r="AJ59" s="661" t="s">
        <v>1812</v>
      </c>
      <c r="AK59" s="661" t="s">
        <v>1825</v>
      </c>
      <c r="AL59" s="661" t="s">
        <v>1812</v>
      </c>
      <c r="AM59" s="661" t="s">
        <v>1812</v>
      </c>
      <c r="AN59" s="661" t="s">
        <v>1826</v>
      </c>
      <c r="AO59" s="661" t="s">
        <v>1826</v>
      </c>
      <c r="AP59" s="333" t="s">
        <v>1822</v>
      </c>
      <c r="AQ59" s="333" t="s">
        <v>1822</v>
      </c>
      <c r="AR59" s="333" t="s">
        <v>1822</v>
      </c>
      <c r="AS59" s="333" t="s">
        <v>1822</v>
      </c>
      <c r="AT59" s="333" t="s">
        <v>1827</v>
      </c>
      <c r="AU59" s="333" t="s">
        <v>1817</v>
      </c>
      <c r="AV59" s="333" t="s">
        <v>1822</v>
      </c>
      <c r="AW59" s="333" t="s">
        <v>1821</v>
      </c>
      <c r="AX59" s="333" t="s">
        <v>1821</v>
      </c>
      <c r="AY59" s="333" t="s">
        <v>1815</v>
      </c>
      <c r="AZ59" s="333" t="s">
        <v>1816</v>
      </c>
      <c r="BA59" s="333" t="s">
        <v>1828</v>
      </c>
      <c r="BB59" s="333" t="s">
        <v>1828</v>
      </c>
    </row>
    <row r="60" customFormat="false" ht="12.75" hidden="false" customHeight="false" outlineLevel="0" collapsed="false">
      <c r="B60" s="659" t="s">
        <v>1414</v>
      </c>
      <c r="C60" s="597" t="s">
        <v>1829</v>
      </c>
      <c r="D60" s="597" t="s">
        <v>1830</v>
      </c>
      <c r="E60" s="597" t="s">
        <v>1831</v>
      </c>
      <c r="F60" s="597" t="s">
        <v>1830</v>
      </c>
      <c r="G60" s="597" t="s">
        <v>1832</v>
      </c>
      <c r="H60" s="597" t="s">
        <v>1833</v>
      </c>
      <c r="I60" s="597" t="s">
        <v>1834</v>
      </c>
      <c r="J60" s="660" t="s">
        <v>1811</v>
      </c>
      <c r="K60" s="597" t="s">
        <v>1815</v>
      </c>
      <c r="L60" s="597" t="s">
        <v>1835</v>
      </c>
      <c r="M60" s="597" t="s">
        <v>1836</v>
      </c>
      <c r="N60" s="597" t="s">
        <v>1835</v>
      </c>
      <c r="O60" s="597" t="s">
        <v>1837</v>
      </c>
      <c r="P60" s="597" t="s">
        <v>1818</v>
      </c>
      <c r="Q60" s="597" t="s">
        <v>1835</v>
      </c>
      <c r="R60" s="597" t="s">
        <v>1838</v>
      </c>
      <c r="S60" s="597" t="s">
        <v>1839</v>
      </c>
      <c r="T60" s="597" t="s">
        <v>1815</v>
      </c>
      <c r="U60" s="597" t="s">
        <v>1815</v>
      </c>
      <c r="V60" s="597" t="s">
        <v>1815</v>
      </c>
      <c r="W60" s="597" t="s">
        <v>1840</v>
      </c>
      <c r="X60" s="597" t="s">
        <v>1840</v>
      </c>
      <c r="Y60" s="597" t="s">
        <v>1841</v>
      </c>
      <c r="Z60" s="597" t="s">
        <v>1842</v>
      </c>
      <c r="AA60" s="597" t="s">
        <v>1843</v>
      </c>
      <c r="AB60" s="597" t="s">
        <v>1844</v>
      </c>
      <c r="AC60" s="597" t="s">
        <v>1843</v>
      </c>
      <c r="AD60" s="597" t="s">
        <v>1845</v>
      </c>
      <c r="AE60" s="597" t="s">
        <v>1846</v>
      </c>
      <c r="AF60" s="597" t="s">
        <v>1846</v>
      </c>
      <c r="AG60" s="660" t="s">
        <v>1812</v>
      </c>
      <c r="AH60" s="660" t="s">
        <v>1812</v>
      </c>
      <c r="AI60" s="660" t="s">
        <v>1812</v>
      </c>
      <c r="AJ60" s="660" t="s">
        <v>1812</v>
      </c>
      <c r="AK60" s="660" t="s">
        <v>1825</v>
      </c>
      <c r="AL60" s="660" t="s">
        <v>1812</v>
      </c>
      <c r="AM60" s="660" t="s">
        <v>1812</v>
      </c>
      <c r="AN60" s="660" t="s">
        <v>1847</v>
      </c>
      <c r="AO60" s="660" t="s">
        <v>1847</v>
      </c>
      <c r="AP60" s="597" t="s">
        <v>1822</v>
      </c>
      <c r="AQ60" s="597" t="s">
        <v>1822</v>
      </c>
      <c r="AR60" s="597" t="s">
        <v>1822</v>
      </c>
      <c r="AS60" s="597" t="s">
        <v>1822</v>
      </c>
      <c r="AT60" s="597" t="s">
        <v>1848</v>
      </c>
      <c r="AU60" s="597" t="s">
        <v>1817</v>
      </c>
      <c r="AV60" s="597" t="s">
        <v>1849</v>
      </c>
      <c r="AW60" s="597" t="s">
        <v>1840</v>
      </c>
      <c r="AX60" s="597" t="s">
        <v>1840</v>
      </c>
      <c r="AY60" s="597" t="s">
        <v>1850</v>
      </c>
      <c r="AZ60" s="597" t="s">
        <v>1835</v>
      </c>
      <c r="BA60" s="597" t="s">
        <v>1815</v>
      </c>
      <c r="BB60" s="597" t="s">
        <v>1815</v>
      </c>
    </row>
    <row r="61" customFormat="false" ht="12.75" hidden="false" customHeight="false" outlineLevel="0" collapsed="false">
      <c r="B61" s="659" t="s">
        <v>1418</v>
      </c>
      <c r="C61" s="597" t="s">
        <v>1851</v>
      </c>
      <c r="D61" s="597" t="s">
        <v>1852</v>
      </c>
      <c r="E61" s="597" t="s">
        <v>1853</v>
      </c>
      <c r="F61" s="597" t="s">
        <v>1852</v>
      </c>
      <c r="G61" s="597" t="s">
        <v>1854</v>
      </c>
      <c r="H61" s="597" t="s">
        <v>1855</v>
      </c>
      <c r="I61" s="597" t="s">
        <v>1856</v>
      </c>
      <c r="J61" s="660" t="s">
        <v>1857</v>
      </c>
      <c r="K61" s="597" t="s">
        <v>1858</v>
      </c>
      <c r="L61" s="597" t="s">
        <v>1859</v>
      </c>
      <c r="M61" s="597" t="s">
        <v>1860</v>
      </c>
      <c r="N61" s="597" t="s">
        <v>1859</v>
      </c>
      <c r="O61" s="597" t="s">
        <v>1861</v>
      </c>
      <c r="P61" s="597" t="s">
        <v>1862</v>
      </c>
      <c r="Q61" s="597" t="s">
        <v>1859</v>
      </c>
      <c r="R61" s="597" t="s">
        <v>1863</v>
      </c>
      <c r="S61" s="597" t="s">
        <v>1864</v>
      </c>
      <c r="T61" s="597" t="s">
        <v>1858</v>
      </c>
      <c r="U61" s="597" t="s">
        <v>1858</v>
      </c>
      <c r="V61" s="597" t="s">
        <v>1858</v>
      </c>
      <c r="W61" s="597" t="s">
        <v>1865</v>
      </c>
      <c r="X61" s="597" t="s">
        <v>1865</v>
      </c>
      <c r="Y61" s="597" t="s">
        <v>1866</v>
      </c>
      <c r="Z61" s="597" t="s">
        <v>1867</v>
      </c>
      <c r="AA61" s="597" t="s">
        <v>1868</v>
      </c>
      <c r="AB61" s="597" t="s">
        <v>1869</v>
      </c>
      <c r="AC61" s="597" t="s">
        <v>1868</v>
      </c>
      <c r="AD61" s="597" t="s">
        <v>1870</v>
      </c>
      <c r="AE61" s="597" t="s">
        <v>1871</v>
      </c>
      <c r="AF61" s="597" t="s">
        <v>1871</v>
      </c>
      <c r="AG61" s="660" t="s">
        <v>1872</v>
      </c>
      <c r="AH61" s="660" t="s">
        <v>1872</v>
      </c>
      <c r="AI61" s="660" t="s">
        <v>1872</v>
      </c>
      <c r="AJ61" s="660" t="s">
        <v>1872</v>
      </c>
      <c r="AK61" s="660" t="s">
        <v>1873</v>
      </c>
      <c r="AL61" s="660" t="s">
        <v>1872</v>
      </c>
      <c r="AM61" s="660" t="s">
        <v>1872</v>
      </c>
      <c r="AN61" s="660" t="s">
        <v>1874</v>
      </c>
      <c r="AO61" s="660" t="s">
        <v>1874</v>
      </c>
      <c r="AP61" s="597" t="s">
        <v>1875</v>
      </c>
      <c r="AQ61" s="597" t="s">
        <v>1875</v>
      </c>
      <c r="AR61" s="597" t="s">
        <v>1875</v>
      </c>
      <c r="AS61" s="597" t="s">
        <v>1875</v>
      </c>
      <c r="AT61" s="597" t="s">
        <v>1876</v>
      </c>
      <c r="AU61" s="597" t="s">
        <v>1877</v>
      </c>
      <c r="AV61" s="597" t="s">
        <v>1878</v>
      </c>
      <c r="AW61" s="597" t="s">
        <v>1865</v>
      </c>
      <c r="AX61" s="597" t="s">
        <v>1865</v>
      </c>
      <c r="AY61" s="597" t="s">
        <v>1879</v>
      </c>
      <c r="AZ61" s="597" t="s">
        <v>1859</v>
      </c>
      <c r="BA61" s="597" t="s">
        <v>1880</v>
      </c>
      <c r="BB61" s="597" t="s">
        <v>1880</v>
      </c>
    </row>
    <row r="62" customFormat="false" ht="12.75" hidden="false" customHeight="false" outlineLevel="0" collapsed="false">
      <c r="B62" s="659" t="s">
        <v>1422</v>
      </c>
      <c r="C62" s="597" t="s">
        <v>1851</v>
      </c>
      <c r="D62" s="597" t="s">
        <v>1881</v>
      </c>
      <c r="E62" s="597" t="s">
        <v>1882</v>
      </c>
      <c r="F62" s="597" t="s">
        <v>1881</v>
      </c>
      <c r="G62" s="597" t="s">
        <v>1883</v>
      </c>
      <c r="H62" s="597" t="s">
        <v>1884</v>
      </c>
      <c r="I62" s="597" t="s">
        <v>1885</v>
      </c>
      <c r="J62" s="660" t="s">
        <v>1886</v>
      </c>
      <c r="K62" s="597" t="s">
        <v>1887</v>
      </c>
      <c r="L62" s="597" t="s">
        <v>1888</v>
      </c>
      <c r="M62" s="597" t="s">
        <v>1889</v>
      </c>
      <c r="N62" s="597" t="s">
        <v>1888</v>
      </c>
      <c r="O62" s="597" t="s">
        <v>1890</v>
      </c>
      <c r="P62" s="597" t="s">
        <v>1891</v>
      </c>
      <c r="Q62" s="597" t="s">
        <v>1888</v>
      </c>
      <c r="R62" s="597" t="s">
        <v>1892</v>
      </c>
      <c r="S62" s="597" t="s">
        <v>1893</v>
      </c>
      <c r="T62" s="597" t="s">
        <v>1887</v>
      </c>
      <c r="U62" s="597" t="s">
        <v>1887</v>
      </c>
      <c r="V62" s="597" t="s">
        <v>1887</v>
      </c>
      <c r="W62" s="597" t="s">
        <v>1894</v>
      </c>
      <c r="X62" s="597" t="s">
        <v>1894</v>
      </c>
      <c r="Y62" s="597" t="s">
        <v>1895</v>
      </c>
      <c r="Z62" s="597" t="s">
        <v>1896</v>
      </c>
      <c r="AA62" s="597" t="s">
        <v>1897</v>
      </c>
      <c r="AB62" s="597" t="s">
        <v>1898</v>
      </c>
      <c r="AC62" s="597" t="s">
        <v>1897</v>
      </c>
      <c r="AD62" s="597" t="s">
        <v>1899</v>
      </c>
      <c r="AE62" s="597" t="s">
        <v>1900</v>
      </c>
      <c r="AF62" s="597" t="s">
        <v>1900</v>
      </c>
      <c r="AG62" s="660" t="s">
        <v>1901</v>
      </c>
      <c r="AH62" s="660" t="s">
        <v>1901</v>
      </c>
      <c r="AI62" s="660" t="s">
        <v>1901</v>
      </c>
      <c r="AJ62" s="660" t="s">
        <v>1901</v>
      </c>
      <c r="AK62" s="660" t="s">
        <v>1902</v>
      </c>
      <c r="AL62" s="660" t="s">
        <v>1901</v>
      </c>
      <c r="AM62" s="660" t="s">
        <v>1901</v>
      </c>
      <c r="AN62" s="660" t="s">
        <v>1903</v>
      </c>
      <c r="AO62" s="660" t="s">
        <v>1903</v>
      </c>
      <c r="AP62" s="597" t="s">
        <v>1904</v>
      </c>
      <c r="AQ62" s="597" t="s">
        <v>1904</v>
      </c>
      <c r="AR62" s="597" t="s">
        <v>1904</v>
      </c>
      <c r="AS62" s="597" t="s">
        <v>1904</v>
      </c>
      <c r="AT62" s="597" t="s">
        <v>1905</v>
      </c>
      <c r="AU62" s="597" t="s">
        <v>1906</v>
      </c>
      <c r="AV62" s="597" t="s">
        <v>1907</v>
      </c>
      <c r="AW62" s="597" t="s">
        <v>1894</v>
      </c>
      <c r="AX62" s="597" t="s">
        <v>1894</v>
      </c>
      <c r="AY62" s="597" t="s">
        <v>1908</v>
      </c>
      <c r="AZ62" s="597" t="s">
        <v>1888</v>
      </c>
      <c r="BA62" s="597" t="s">
        <v>1909</v>
      </c>
      <c r="BB62" s="597" t="s">
        <v>1909</v>
      </c>
    </row>
    <row r="63" customFormat="false" ht="12.75" hidden="false" customHeight="false" outlineLevel="0" collapsed="false">
      <c r="B63" s="659" t="s">
        <v>1426</v>
      </c>
      <c r="C63" s="333" t="s">
        <v>1910</v>
      </c>
      <c r="D63" s="333" t="s">
        <v>1911</v>
      </c>
      <c r="E63" s="333" t="s">
        <v>1912</v>
      </c>
      <c r="F63" s="333" t="s">
        <v>1911</v>
      </c>
      <c r="G63" s="333" t="s">
        <v>1913</v>
      </c>
      <c r="H63" s="333" t="s">
        <v>1914</v>
      </c>
      <c r="I63" s="333" t="s">
        <v>1915</v>
      </c>
      <c r="J63" s="661" t="s">
        <v>1916</v>
      </c>
      <c r="K63" s="333" t="s">
        <v>1917</v>
      </c>
      <c r="L63" s="333" t="s">
        <v>1918</v>
      </c>
      <c r="M63" s="333" t="s">
        <v>1919</v>
      </c>
      <c r="N63" s="333" t="s">
        <v>1920</v>
      </c>
      <c r="O63" s="333" t="s">
        <v>1921</v>
      </c>
      <c r="P63" s="333" t="s">
        <v>1922</v>
      </c>
      <c r="Q63" s="333" t="s">
        <v>1918</v>
      </c>
      <c r="R63" s="333" t="s">
        <v>1923</v>
      </c>
      <c r="S63" s="333" t="s">
        <v>1924</v>
      </c>
      <c r="T63" s="333" t="s">
        <v>1917</v>
      </c>
      <c r="U63" s="333" t="s">
        <v>1917</v>
      </c>
      <c r="V63" s="333" t="s">
        <v>1917</v>
      </c>
      <c r="W63" s="333" t="s">
        <v>1925</v>
      </c>
      <c r="X63" s="333" t="s">
        <v>1925</v>
      </c>
      <c r="Y63" s="333" t="s">
        <v>1926</v>
      </c>
      <c r="Z63" s="333" t="s">
        <v>1927</v>
      </c>
      <c r="AA63" s="333" t="s">
        <v>1928</v>
      </c>
      <c r="AB63" s="333" t="s">
        <v>1929</v>
      </c>
      <c r="AC63" s="333" t="s">
        <v>1928</v>
      </c>
      <c r="AD63" s="333" t="s">
        <v>1930</v>
      </c>
      <c r="AE63" s="333" t="s">
        <v>1931</v>
      </c>
      <c r="AF63" s="333" t="s">
        <v>1931</v>
      </c>
      <c r="AG63" s="661" t="s">
        <v>1932</v>
      </c>
      <c r="AH63" s="661" t="s">
        <v>1932</v>
      </c>
      <c r="AI63" s="661" t="s">
        <v>1932</v>
      </c>
      <c r="AJ63" s="661" t="s">
        <v>1932</v>
      </c>
      <c r="AK63" s="661" t="s">
        <v>1933</v>
      </c>
      <c r="AL63" s="661" t="s">
        <v>1932</v>
      </c>
      <c r="AM63" s="661" t="s">
        <v>1932</v>
      </c>
      <c r="AN63" s="661" t="s">
        <v>1934</v>
      </c>
      <c r="AO63" s="661" t="s">
        <v>1934</v>
      </c>
      <c r="AP63" s="333" t="s">
        <v>1935</v>
      </c>
      <c r="AQ63" s="333" t="s">
        <v>1935</v>
      </c>
      <c r="AR63" s="333" t="s">
        <v>1935</v>
      </c>
      <c r="AS63" s="333" t="s">
        <v>1935</v>
      </c>
      <c r="AT63" s="333" t="s">
        <v>1936</v>
      </c>
      <c r="AU63" s="333" t="s">
        <v>1937</v>
      </c>
      <c r="AV63" s="333" t="s">
        <v>1938</v>
      </c>
      <c r="AW63" s="333" t="s">
        <v>1939</v>
      </c>
      <c r="AX63" s="333" t="s">
        <v>1939</v>
      </c>
      <c r="AY63" s="333" t="s">
        <v>1940</v>
      </c>
      <c r="AZ63" s="333" t="s">
        <v>1920</v>
      </c>
      <c r="BA63" s="333" t="s">
        <v>1909</v>
      </c>
      <c r="BB63" s="333" t="s">
        <v>1909</v>
      </c>
    </row>
    <row r="64" customFormat="false" ht="12.75" hidden="false" customHeight="false" outlineLevel="0" collapsed="false">
      <c r="B64" s="659" t="s">
        <v>1430</v>
      </c>
      <c r="C64" s="333" t="s">
        <v>1941</v>
      </c>
      <c r="D64" s="333" t="s">
        <v>1942</v>
      </c>
      <c r="E64" s="333" t="s">
        <v>1943</v>
      </c>
      <c r="F64" s="333" t="s">
        <v>1942</v>
      </c>
      <c r="G64" s="333" t="s">
        <v>1944</v>
      </c>
      <c r="H64" s="333" t="s">
        <v>1945</v>
      </c>
      <c r="I64" s="333" t="s">
        <v>1946</v>
      </c>
      <c r="J64" s="661" t="s">
        <v>1947</v>
      </c>
      <c r="K64" s="333" t="s">
        <v>1948</v>
      </c>
      <c r="L64" s="333" t="s">
        <v>1949</v>
      </c>
      <c r="M64" s="333" t="s">
        <v>1950</v>
      </c>
      <c r="N64" s="333" t="s">
        <v>1951</v>
      </c>
      <c r="O64" s="333" t="s">
        <v>1952</v>
      </c>
      <c r="P64" s="333" t="s">
        <v>1953</v>
      </c>
      <c r="Q64" s="333" t="s">
        <v>1949</v>
      </c>
      <c r="R64" s="333" t="s">
        <v>1954</v>
      </c>
      <c r="S64" s="333" t="s">
        <v>1955</v>
      </c>
      <c r="T64" s="333" t="s">
        <v>1948</v>
      </c>
      <c r="U64" s="333" t="s">
        <v>1948</v>
      </c>
      <c r="V64" s="333" t="s">
        <v>1948</v>
      </c>
      <c r="W64" s="333" t="s">
        <v>1956</v>
      </c>
      <c r="X64" s="333" t="s">
        <v>1956</v>
      </c>
      <c r="Y64" s="333" t="s">
        <v>1957</v>
      </c>
      <c r="Z64" s="333" t="s">
        <v>1958</v>
      </c>
      <c r="AA64" s="333" t="s">
        <v>1959</v>
      </c>
      <c r="AB64" s="333" t="s">
        <v>1960</v>
      </c>
      <c r="AC64" s="333" t="s">
        <v>1959</v>
      </c>
      <c r="AD64" s="333" t="s">
        <v>1961</v>
      </c>
      <c r="AE64" s="333" t="s">
        <v>1962</v>
      </c>
      <c r="AF64" s="333" t="s">
        <v>1962</v>
      </c>
      <c r="AG64" s="661" t="s">
        <v>1963</v>
      </c>
      <c r="AH64" s="661" t="s">
        <v>1963</v>
      </c>
      <c r="AI64" s="661" t="s">
        <v>1963</v>
      </c>
      <c r="AJ64" s="661" t="s">
        <v>1963</v>
      </c>
      <c r="AK64" s="661" t="s">
        <v>1964</v>
      </c>
      <c r="AL64" s="661" t="s">
        <v>1963</v>
      </c>
      <c r="AM64" s="661" t="s">
        <v>1963</v>
      </c>
      <c r="AN64" s="661" t="s">
        <v>1965</v>
      </c>
      <c r="AO64" s="661" t="s">
        <v>1965</v>
      </c>
      <c r="AP64" s="333" t="s">
        <v>1966</v>
      </c>
      <c r="AQ64" s="333" t="s">
        <v>1966</v>
      </c>
      <c r="AR64" s="333" t="s">
        <v>1966</v>
      </c>
      <c r="AS64" s="333" t="s">
        <v>1966</v>
      </c>
      <c r="AT64" s="333" t="s">
        <v>1967</v>
      </c>
      <c r="AU64" s="333" t="s">
        <v>1968</v>
      </c>
      <c r="AV64" s="333" t="s">
        <v>1969</v>
      </c>
      <c r="AW64" s="333" t="s">
        <v>1970</v>
      </c>
      <c r="AX64" s="333" t="s">
        <v>1970</v>
      </c>
      <c r="AY64" s="333" t="s">
        <v>1971</v>
      </c>
      <c r="AZ64" s="333" t="s">
        <v>1972</v>
      </c>
      <c r="BA64" s="333" t="s">
        <v>1973</v>
      </c>
      <c r="BB64" s="333" t="s">
        <v>1973</v>
      </c>
    </row>
    <row r="65" customFormat="false" ht="12.75" hidden="false" customHeight="false" outlineLevel="0" collapsed="false">
      <c r="B65" s="659" t="s">
        <v>1434</v>
      </c>
      <c r="C65" s="333" t="s">
        <v>1974</v>
      </c>
      <c r="D65" s="333" t="s">
        <v>1975</v>
      </c>
      <c r="E65" s="333" t="s">
        <v>1976</v>
      </c>
      <c r="F65" s="333" t="s">
        <v>1975</v>
      </c>
      <c r="G65" s="333" t="s">
        <v>1977</v>
      </c>
      <c r="H65" s="333" t="s">
        <v>1978</v>
      </c>
      <c r="I65" s="333" t="s">
        <v>1979</v>
      </c>
      <c r="J65" s="661" t="s">
        <v>1980</v>
      </c>
      <c r="K65" s="333" t="s">
        <v>1981</v>
      </c>
      <c r="L65" s="333" t="s">
        <v>1982</v>
      </c>
      <c r="M65" s="333" t="s">
        <v>1983</v>
      </c>
      <c r="N65" s="333" t="s">
        <v>1984</v>
      </c>
      <c r="O65" s="333" t="s">
        <v>1985</v>
      </c>
      <c r="P65" s="333" t="s">
        <v>1986</v>
      </c>
      <c r="Q65" s="333" t="s">
        <v>1987</v>
      </c>
      <c r="R65" s="333" t="s">
        <v>1988</v>
      </c>
      <c r="S65" s="333" t="s">
        <v>1989</v>
      </c>
      <c r="T65" s="333" t="s">
        <v>1981</v>
      </c>
      <c r="U65" s="333" t="s">
        <v>1981</v>
      </c>
      <c r="V65" s="333" t="s">
        <v>1981</v>
      </c>
      <c r="W65" s="333" t="s">
        <v>1990</v>
      </c>
      <c r="X65" s="333" t="s">
        <v>1990</v>
      </c>
      <c r="Y65" s="333" t="s">
        <v>1991</v>
      </c>
      <c r="Z65" s="333" t="s">
        <v>1992</v>
      </c>
      <c r="AA65" s="333" t="s">
        <v>1993</v>
      </c>
      <c r="AB65" s="333" t="s">
        <v>1994</v>
      </c>
      <c r="AC65" s="333" t="s">
        <v>1993</v>
      </c>
      <c r="AD65" s="333" t="s">
        <v>1995</v>
      </c>
      <c r="AE65" s="333" t="s">
        <v>1996</v>
      </c>
      <c r="AF65" s="333" t="s">
        <v>1996</v>
      </c>
      <c r="AG65" s="661" t="s">
        <v>1997</v>
      </c>
      <c r="AH65" s="661" t="s">
        <v>1997</v>
      </c>
      <c r="AI65" s="661" t="s">
        <v>1997</v>
      </c>
      <c r="AJ65" s="661" t="s">
        <v>1997</v>
      </c>
      <c r="AK65" s="661" t="s">
        <v>1998</v>
      </c>
      <c r="AL65" s="661" t="s">
        <v>1997</v>
      </c>
      <c r="AM65" s="661" t="s">
        <v>1997</v>
      </c>
      <c r="AN65" s="661" t="s">
        <v>1999</v>
      </c>
      <c r="AO65" s="661" t="s">
        <v>1999</v>
      </c>
      <c r="AP65" s="333" t="s">
        <v>2000</v>
      </c>
      <c r="AQ65" s="333" t="s">
        <v>2000</v>
      </c>
      <c r="AR65" s="333" t="s">
        <v>2000</v>
      </c>
      <c r="AS65" s="333" t="s">
        <v>2000</v>
      </c>
      <c r="AT65" s="333" t="s">
        <v>2001</v>
      </c>
      <c r="AU65" s="333" t="s">
        <v>2002</v>
      </c>
      <c r="AV65" s="333" t="s">
        <v>2003</v>
      </c>
      <c r="AW65" s="333" t="s">
        <v>2004</v>
      </c>
      <c r="AX65" s="333" t="s">
        <v>2004</v>
      </c>
      <c r="AY65" s="333" t="s">
        <v>2005</v>
      </c>
      <c r="AZ65" s="333" t="s">
        <v>2006</v>
      </c>
      <c r="BA65" s="333" t="s">
        <v>2007</v>
      </c>
      <c r="BB65" s="333" t="s">
        <v>2007</v>
      </c>
    </row>
    <row r="66" customFormat="false" ht="12.75" hidden="false" customHeight="false" outlineLevel="0" collapsed="false">
      <c r="B66" s="659" t="s">
        <v>1438</v>
      </c>
      <c r="C66" s="597" t="s">
        <v>2008</v>
      </c>
      <c r="D66" s="597" t="s">
        <v>2009</v>
      </c>
      <c r="E66" s="597" t="s">
        <v>2010</v>
      </c>
      <c r="F66" s="597" t="s">
        <v>2009</v>
      </c>
      <c r="G66" s="597" t="s">
        <v>2011</v>
      </c>
      <c r="H66" s="597" t="s">
        <v>2012</v>
      </c>
      <c r="I66" s="597" t="s">
        <v>2013</v>
      </c>
      <c r="J66" s="660" t="s">
        <v>2014</v>
      </c>
      <c r="K66" s="597" t="s">
        <v>2015</v>
      </c>
      <c r="L66" s="597" t="s">
        <v>2016</v>
      </c>
      <c r="M66" s="597" t="s">
        <v>2017</v>
      </c>
      <c r="N66" s="597" t="s">
        <v>2018</v>
      </c>
      <c r="O66" s="597" t="s">
        <v>2019</v>
      </c>
      <c r="P66" s="597" t="s">
        <v>2020</v>
      </c>
      <c r="Q66" s="597" t="s">
        <v>2021</v>
      </c>
      <c r="R66" s="597" t="s">
        <v>2022</v>
      </c>
      <c r="S66" s="597" t="s">
        <v>2023</v>
      </c>
      <c r="T66" s="597" t="s">
        <v>2015</v>
      </c>
      <c r="U66" s="597" t="s">
        <v>2015</v>
      </c>
      <c r="V66" s="597" t="s">
        <v>2015</v>
      </c>
      <c r="W66" s="597" t="s">
        <v>2024</v>
      </c>
      <c r="X66" s="597" t="s">
        <v>2024</v>
      </c>
      <c r="Y66" s="597" t="s">
        <v>2025</v>
      </c>
      <c r="Z66" s="597" t="s">
        <v>2026</v>
      </c>
      <c r="AA66" s="597" t="s">
        <v>2027</v>
      </c>
      <c r="AB66" s="597" t="s">
        <v>2028</v>
      </c>
      <c r="AC66" s="597" t="s">
        <v>2027</v>
      </c>
      <c r="AD66" s="597" t="s">
        <v>2029</v>
      </c>
      <c r="AE66" s="597" t="s">
        <v>2030</v>
      </c>
      <c r="AF66" s="597" t="s">
        <v>2030</v>
      </c>
      <c r="AG66" s="660" t="s">
        <v>2031</v>
      </c>
      <c r="AH66" s="660" t="s">
        <v>2031</v>
      </c>
      <c r="AI66" s="660" t="s">
        <v>2031</v>
      </c>
      <c r="AJ66" s="660" t="s">
        <v>2031</v>
      </c>
      <c r="AK66" s="660" t="s">
        <v>2032</v>
      </c>
      <c r="AL66" s="660" t="s">
        <v>2031</v>
      </c>
      <c r="AM66" s="660" t="s">
        <v>2031</v>
      </c>
      <c r="AN66" s="660" t="s">
        <v>2033</v>
      </c>
      <c r="AO66" s="660" t="s">
        <v>2033</v>
      </c>
      <c r="AP66" s="597" t="s">
        <v>2034</v>
      </c>
      <c r="AQ66" s="597" t="s">
        <v>2034</v>
      </c>
      <c r="AR66" s="597" t="s">
        <v>2034</v>
      </c>
      <c r="AS66" s="597" t="s">
        <v>2034</v>
      </c>
      <c r="AT66" s="597" t="s">
        <v>2035</v>
      </c>
      <c r="AU66" s="597" t="s">
        <v>2036</v>
      </c>
      <c r="AV66" s="597" t="s">
        <v>2037</v>
      </c>
      <c r="AW66" s="597" t="s">
        <v>2038</v>
      </c>
      <c r="AX66" s="597" t="s">
        <v>2038</v>
      </c>
      <c r="AY66" s="597" t="s">
        <v>2039</v>
      </c>
      <c r="AZ66" s="597" t="s">
        <v>2040</v>
      </c>
      <c r="BA66" s="597" t="s">
        <v>2041</v>
      </c>
      <c r="BB66" s="597" t="s">
        <v>2041</v>
      </c>
    </row>
    <row r="67" customFormat="false" ht="12.75" hidden="false" customHeight="false" outlineLevel="0" collapsed="false">
      <c r="B67" s="659" t="s">
        <v>1442</v>
      </c>
      <c r="C67" s="597" t="s">
        <v>2042</v>
      </c>
      <c r="D67" s="597" t="s">
        <v>2043</v>
      </c>
      <c r="E67" s="597" t="s">
        <v>2044</v>
      </c>
      <c r="F67" s="597" t="s">
        <v>2043</v>
      </c>
      <c r="G67" s="597" t="s">
        <v>2045</v>
      </c>
      <c r="H67" s="597" t="s">
        <v>2046</v>
      </c>
      <c r="I67" s="597" t="s">
        <v>2047</v>
      </c>
      <c r="J67" s="660" t="s">
        <v>2048</v>
      </c>
      <c r="K67" s="597" t="s">
        <v>2049</v>
      </c>
      <c r="L67" s="597" t="s">
        <v>2050</v>
      </c>
      <c r="M67" s="597" t="s">
        <v>2051</v>
      </c>
      <c r="N67" s="597" t="s">
        <v>2052</v>
      </c>
      <c r="O67" s="597" t="s">
        <v>2053</v>
      </c>
      <c r="P67" s="597" t="s">
        <v>2054</v>
      </c>
      <c r="Q67" s="597" t="s">
        <v>2055</v>
      </c>
      <c r="R67" s="597" t="s">
        <v>2056</v>
      </c>
      <c r="S67" s="597" t="s">
        <v>2057</v>
      </c>
      <c r="T67" s="597" t="s">
        <v>2049</v>
      </c>
      <c r="U67" s="597" t="s">
        <v>2049</v>
      </c>
      <c r="V67" s="597" t="s">
        <v>2049</v>
      </c>
      <c r="W67" s="597" t="s">
        <v>2058</v>
      </c>
      <c r="X67" s="597" t="s">
        <v>2058</v>
      </c>
      <c r="Y67" s="597" t="s">
        <v>2059</v>
      </c>
      <c r="Z67" s="597" t="s">
        <v>2060</v>
      </c>
      <c r="AA67" s="597" t="s">
        <v>2061</v>
      </c>
      <c r="AB67" s="597" t="s">
        <v>2062</v>
      </c>
      <c r="AC67" s="597" t="s">
        <v>2061</v>
      </c>
      <c r="AD67" s="597" t="s">
        <v>2063</v>
      </c>
      <c r="AE67" s="597" t="s">
        <v>2064</v>
      </c>
      <c r="AF67" s="597" t="s">
        <v>2064</v>
      </c>
      <c r="AG67" s="660" t="s">
        <v>2065</v>
      </c>
      <c r="AH67" s="660" t="s">
        <v>2065</v>
      </c>
      <c r="AI67" s="660" t="s">
        <v>2065</v>
      </c>
      <c r="AJ67" s="660" t="s">
        <v>2065</v>
      </c>
      <c r="AK67" s="660" t="s">
        <v>2066</v>
      </c>
      <c r="AL67" s="660" t="s">
        <v>2065</v>
      </c>
      <c r="AM67" s="660" t="s">
        <v>2065</v>
      </c>
      <c r="AN67" s="660" t="s">
        <v>2067</v>
      </c>
      <c r="AO67" s="660" t="s">
        <v>2067</v>
      </c>
      <c r="AP67" s="597" t="s">
        <v>2068</v>
      </c>
      <c r="AQ67" s="597" t="s">
        <v>2068</v>
      </c>
      <c r="AR67" s="597" t="s">
        <v>2068</v>
      </c>
      <c r="AS67" s="597" t="s">
        <v>2068</v>
      </c>
      <c r="AT67" s="597" t="s">
        <v>2069</v>
      </c>
      <c r="AU67" s="597" t="s">
        <v>2070</v>
      </c>
      <c r="AV67" s="597" t="s">
        <v>2071</v>
      </c>
      <c r="AW67" s="597" t="s">
        <v>2072</v>
      </c>
      <c r="AX67" s="597" t="s">
        <v>2072</v>
      </c>
      <c r="AY67" s="597" t="s">
        <v>2073</v>
      </c>
      <c r="AZ67" s="597" t="s">
        <v>2074</v>
      </c>
      <c r="BA67" s="597" t="s">
        <v>2075</v>
      </c>
      <c r="BB67" s="597" t="s">
        <v>2075</v>
      </c>
    </row>
    <row r="68" customFormat="false" ht="12.75" hidden="false" customHeight="false" outlineLevel="0" collapsed="false">
      <c r="B68" s="662" t="s">
        <v>1445</v>
      </c>
      <c r="C68" s="597" t="s">
        <v>2076</v>
      </c>
      <c r="D68" s="629" t="s">
        <v>2077</v>
      </c>
      <c r="E68" s="629" t="s">
        <v>2078</v>
      </c>
      <c r="F68" s="629" t="s">
        <v>2077</v>
      </c>
      <c r="G68" s="629" t="s">
        <v>2079</v>
      </c>
      <c r="H68" s="629" t="s">
        <v>2080</v>
      </c>
      <c r="I68" s="629" t="s">
        <v>2081</v>
      </c>
      <c r="J68" s="663" t="s">
        <v>2082</v>
      </c>
      <c r="K68" s="629" t="s">
        <v>2083</v>
      </c>
      <c r="L68" s="629" t="s">
        <v>2084</v>
      </c>
      <c r="M68" s="629" t="s">
        <v>2085</v>
      </c>
      <c r="N68" s="629" t="s">
        <v>2086</v>
      </c>
      <c r="O68" s="629" t="s">
        <v>2087</v>
      </c>
      <c r="P68" s="629" t="s">
        <v>2088</v>
      </c>
      <c r="Q68" s="629" t="s">
        <v>2089</v>
      </c>
      <c r="R68" s="629" t="s">
        <v>2090</v>
      </c>
      <c r="S68" s="629" t="s">
        <v>2091</v>
      </c>
      <c r="T68" s="629" t="s">
        <v>2083</v>
      </c>
      <c r="U68" s="629" t="s">
        <v>2083</v>
      </c>
      <c r="V68" s="629" t="s">
        <v>2083</v>
      </c>
      <c r="W68" s="629" t="s">
        <v>2092</v>
      </c>
      <c r="X68" s="629" t="s">
        <v>2092</v>
      </c>
      <c r="Y68" s="597" t="s">
        <v>2093</v>
      </c>
      <c r="Z68" s="597" t="s">
        <v>2094</v>
      </c>
      <c r="AA68" s="597" t="s">
        <v>2095</v>
      </c>
      <c r="AB68" s="597" t="s">
        <v>2096</v>
      </c>
      <c r="AC68" s="597" t="s">
        <v>2095</v>
      </c>
      <c r="AD68" s="597" t="s">
        <v>2097</v>
      </c>
      <c r="AE68" s="597" t="s">
        <v>2098</v>
      </c>
      <c r="AF68" s="597" t="s">
        <v>2098</v>
      </c>
      <c r="AG68" s="663" t="s">
        <v>2099</v>
      </c>
      <c r="AH68" s="663" t="s">
        <v>2099</v>
      </c>
      <c r="AI68" s="663" t="s">
        <v>2099</v>
      </c>
      <c r="AJ68" s="663" t="s">
        <v>2099</v>
      </c>
      <c r="AK68" s="663" t="s">
        <v>2100</v>
      </c>
      <c r="AL68" s="663" t="s">
        <v>2099</v>
      </c>
      <c r="AM68" s="663" t="s">
        <v>2099</v>
      </c>
      <c r="AN68" s="663" t="s">
        <v>2101</v>
      </c>
      <c r="AO68" s="663" t="s">
        <v>2101</v>
      </c>
      <c r="AP68" s="629" t="s">
        <v>2102</v>
      </c>
      <c r="AQ68" s="629" t="s">
        <v>2102</v>
      </c>
      <c r="AR68" s="629" t="s">
        <v>2102</v>
      </c>
      <c r="AS68" s="629" t="s">
        <v>2102</v>
      </c>
      <c r="AT68" s="597" t="s">
        <v>2103</v>
      </c>
      <c r="AU68" s="629" t="s">
        <v>2104</v>
      </c>
      <c r="AV68" s="629" t="s">
        <v>2105</v>
      </c>
      <c r="AW68" s="629" t="s">
        <v>2106</v>
      </c>
      <c r="AX68" s="629" t="s">
        <v>2106</v>
      </c>
      <c r="AY68" s="629" t="s">
        <v>2107</v>
      </c>
      <c r="AZ68" s="629" t="s">
        <v>2108</v>
      </c>
      <c r="BA68" s="629" t="s">
        <v>2109</v>
      </c>
      <c r="BB68" s="629" t="s">
        <v>2109</v>
      </c>
    </row>
    <row r="69" customFormat="false" ht="12.75" hidden="false" customHeight="false" outlineLevel="0" collapsed="false">
      <c r="B69" s="655" t="s">
        <v>2110</v>
      </c>
      <c r="C69" s="664" t="n">
        <v>13</v>
      </c>
      <c r="D69" s="664" t="n">
        <v>13</v>
      </c>
      <c r="E69" s="664" t="n">
        <v>13</v>
      </c>
      <c r="F69" s="664" t="n">
        <v>13</v>
      </c>
      <c r="G69" s="664" t="n">
        <v>13</v>
      </c>
      <c r="H69" s="664" t="n">
        <v>13</v>
      </c>
      <c r="I69" s="664" t="n">
        <v>13</v>
      </c>
      <c r="J69" s="664" t="n">
        <v>13</v>
      </c>
      <c r="K69" s="664" t="n">
        <v>13</v>
      </c>
      <c r="L69" s="664" t="n">
        <v>13</v>
      </c>
      <c r="M69" s="664" t="n">
        <v>13</v>
      </c>
      <c r="N69" s="664" t="n">
        <v>13</v>
      </c>
      <c r="O69" s="664" t="n">
        <v>13</v>
      </c>
      <c r="P69" s="664" t="n">
        <v>13</v>
      </c>
      <c r="Q69" s="664" t="n">
        <v>13</v>
      </c>
      <c r="R69" s="664" t="n">
        <v>13</v>
      </c>
      <c r="S69" s="664" t="n">
        <v>13</v>
      </c>
      <c r="T69" s="664" t="n">
        <v>13</v>
      </c>
      <c r="U69" s="664" t="n">
        <v>13</v>
      </c>
      <c r="V69" s="664" t="n">
        <v>13</v>
      </c>
      <c r="W69" s="664" t="n">
        <v>13</v>
      </c>
      <c r="X69" s="664" t="n">
        <v>13</v>
      </c>
      <c r="Y69" s="664" t="n">
        <v>13</v>
      </c>
      <c r="Z69" s="664" t="n">
        <v>13</v>
      </c>
      <c r="AA69" s="664" t="n">
        <v>13</v>
      </c>
      <c r="AB69" s="664" t="n">
        <v>13</v>
      </c>
      <c r="AC69" s="664" t="n">
        <v>13</v>
      </c>
      <c r="AD69" s="664" t="n">
        <v>13</v>
      </c>
      <c r="AE69" s="664" t="n">
        <v>13</v>
      </c>
      <c r="AF69" s="664" t="n">
        <v>13</v>
      </c>
      <c r="AG69" s="664" t="n">
        <v>13</v>
      </c>
      <c r="AH69" s="664" t="n">
        <v>13</v>
      </c>
      <c r="AI69" s="664" t="n">
        <v>13</v>
      </c>
      <c r="AJ69" s="664" t="n">
        <v>13</v>
      </c>
      <c r="AK69" s="664" t="n">
        <v>13</v>
      </c>
      <c r="AL69" s="664" t="n">
        <v>13</v>
      </c>
      <c r="AM69" s="664" t="n">
        <v>13</v>
      </c>
      <c r="AN69" s="664" t="n">
        <v>13</v>
      </c>
      <c r="AO69" s="664" t="n">
        <v>13</v>
      </c>
      <c r="AP69" s="664" t="n">
        <v>13</v>
      </c>
      <c r="AQ69" s="664" t="n">
        <v>13</v>
      </c>
      <c r="AR69" s="664" t="n">
        <v>13</v>
      </c>
      <c r="AS69" s="664" t="n">
        <v>13</v>
      </c>
      <c r="AT69" s="664" t="n">
        <v>13</v>
      </c>
      <c r="AU69" s="664" t="n">
        <v>13</v>
      </c>
      <c r="AV69" s="664" t="n">
        <v>13</v>
      </c>
      <c r="AW69" s="664" t="n">
        <v>13</v>
      </c>
      <c r="AX69" s="664" t="n">
        <v>13</v>
      </c>
      <c r="AY69" s="664" t="n">
        <v>13</v>
      </c>
      <c r="AZ69" s="664" t="n">
        <v>13</v>
      </c>
      <c r="BA69" s="664" t="n">
        <v>13</v>
      </c>
      <c r="BB69" s="664" t="n">
        <v>13</v>
      </c>
    </row>
    <row r="70" customFormat="false" ht="12.75" hidden="false" customHeight="false" outlineLevel="0" collapsed="false">
      <c r="B70" s="665" t="s">
        <v>981</v>
      </c>
      <c r="C70" s="666" t="n">
        <v>5</v>
      </c>
      <c r="D70" s="666" t="n">
        <v>5</v>
      </c>
      <c r="E70" s="666" t="n">
        <v>5</v>
      </c>
      <c r="F70" s="666" t="n">
        <v>5</v>
      </c>
      <c r="G70" s="667" t="n">
        <v>5</v>
      </c>
      <c r="H70" s="667" t="n">
        <v>5</v>
      </c>
      <c r="I70" s="667" t="n">
        <v>5</v>
      </c>
      <c r="J70" s="667" t="n">
        <v>5</v>
      </c>
      <c r="K70" s="667" t="n">
        <v>5</v>
      </c>
      <c r="L70" s="667" t="n">
        <v>5</v>
      </c>
      <c r="M70" s="667" t="n">
        <v>5</v>
      </c>
      <c r="N70" s="667" t="n">
        <v>5</v>
      </c>
      <c r="O70" s="667" t="n">
        <v>5</v>
      </c>
      <c r="P70" s="667" t="n">
        <v>5</v>
      </c>
      <c r="Q70" s="667" t="n">
        <v>5</v>
      </c>
      <c r="R70" s="667" t="n">
        <v>5</v>
      </c>
      <c r="S70" s="667" t="n">
        <v>5</v>
      </c>
      <c r="T70" s="667" t="n">
        <v>5</v>
      </c>
      <c r="U70" s="667" t="n">
        <v>5</v>
      </c>
      <c r="V70" s="667" t="n">
        <v>5</v>
      </c>
      <c r="W70" s="667" t="n">
        <v>5</v>
      </c>
      <c r="X70" s="667" t="n">
        <v>5</v>
      </c>
      <c r="Y70" s="667" t="n">
        <v>5</v>
      </c>
      <c r="Z70" s="667" t="n">
        <v>5</v>
      </c>
      <c r="AA70" s="667" t="n">
        <v>5</v>
      </c>
      <c r="AB70" s="667" t="n">
        <v>5</v>
      </c>
      <c r="AC70" s="667" t="n">
        <v>5</v>
      </c>
      <c r="AD70" s="667" t="n">
        <v>5</v>
      </c>
      <c r="AE70" s="667" t="n">
        <v>5</v>
      </c>
      <c r="AF70" s="667" t="n">
        <v>5</v>
      </c>
      <c r="AG70" s="667" t="n">
        <v>5</v>
      </c>
      <c r="AH70" s="667" t="n">
        <v>5</v>
      </c>
      <c r="AI70" s="667" t="n">
        <v>5</v>
      </c>
      <c r="AJ70" s="667" t="n">
        <v>5</v>
      </c>
      <c r="AK70" s="667" t="n">
        <v>5</v>
      </c>
      <c r="AL70" s="667" t="n">
        <v>5</v>
      </c>
      <c r="AM70" s="667" t="n">
        <v>5</v>
      </c>
      <c r="AN70" s="667" t="n">
        <v>5</v>
      </c>
      <c r="AO70" s="667" t="n">
        <v>5</v>
      </c>
      <c r="AP70" s="667" t="n">
        <v>5</v>
      </c>
      <c r="AQ70" s="667" t="n">
        <v>5</v>
      </c>
      <c r="AR70" s="667" t="n">
        <v>5</v>
      </c>
      <c r="AS70" s="667" t="n">
        <v>5</v>
      </c>
      <c r="AT70" s="667" t="n">
        <v>5</v>
      </c>
      <c r="AU70" s="667" t="n">
        <v>5</v>
      </c>
      <c r="AV70" s="667" t="n">
        <v>5</v>
      </c>
      <c r="AW70" s="667" t="n">
        <v>5</v>
      </c>
      <c r="AX70" s="667" t="n">
        <v>5</v>
      </c>
      <c r="AY70" s="667" t="n">
        <v>5</v>
      </c>
      <c r="AZ70" s="667" t="n">
        <v>5</v>
      </c>
      <c r="BA70" s="667" t="n">
        <v>5</v>
      </c>
      <c r="BB70" s="667" t="n">
        <v>5</v>
      </c>
    </row>
    <row r="71" s="11" customFormat="true" ht="12.75" hidden="false" customHeight="false" outlineLevel="0" collapsed="false">
      <c r="B71" s="662" t="s">
        <v>958</v>
      </c>
      <c r="C71" s="668" t="s">
        <v>2111</v>
      </c>
      <c r="D71" s="668" t="s">
        <v>2112</v>
      </c>
      <c r="E71" s="668" t="s">
        <v>2112</v>
      </c>
      <c r="F71" s="668" t="s">
        <v>2112</v>
      </c>
      <c r="G71" s="611" t="s">
        <v>2113</v>
      </c>
      <c r="H71" s="611" t="s">
        <v>2114</v>
      </c>
      <c r="I71" s="611" t="s">
        <v>2115</v>
      </c>
      <c r="J71" s="611" t="s">
        <v>2116</v>
      </c>
      <c r="K71" s="611" t="s">
        <v>2117</v>
      </c>
      <c r="L71" s="611" t="s">
        <v>2118</v>
      </c>
      <c r="M71" s="611" t="s">
        <v>2119</v>
      </c>
      <c r="N71" s="611" t="s">
        <v>2120</v>
      </c>
      <c r="O71" s="611" t="s">
        <v>2121</v>
      </c>
      <c r="P71" s="611" t="s">
        <v>2122</v>
      </c>
      <c r="Q71" s="611" t="s">
        <v>2123</v>
      </c>
      <c r="R71" s="611" t="s">
        <v>2124</v>
      </c>
      <c r="S71" s="611" t="s">
        <v>2125</v>
      </c>
      <c r="T71" s="611" t="s">
        <v>2117</v>
      </c>
      <c r="U71" s="611" t="s">
        <v>2117</v>
      </c>
      <c r="V71" s="611" t="s">
        <v>2117</v>
      </c>
      <c r="W71" s="611" t="s">
        <v>2126</v>
      </c>
      <c r="X71" s="611" t="s">
        <v>2126</v>
      </c>
      <c r="Y71" s="611" t="s">
        <v>2127</v>
      </c>
      <c r="Z71" s="611" t="s">
        <v>2128</v>
      </c>
      <c r="AA71" s="611" t="s">
        <v>2129</v>
      </c>
      <c r="AB71" s="611" t="s">
        <v>2129</v>
      </c>
      <c r="AC71" s="611" t="s">
        <v>2129</v>
      </c>
      <c r="AD71" s="611" t="s">
        <v>2129</v>
      </c>
      <c r="AE71" s="611" t="s">
        <v>2130</v>
      </c>
      <c r="AF71" s="611" t="s">
        <v>2130</v>
      </c>
      <c r="AG71" s="611" t="s">
        <v>2116</v>
      </c>
      <c r="AH71" s="611" t="s">
        <v>2116</v>
      </c>
      <c r="AI71" s="611" t="s">
        <v>2116</v>
      </c>
      <c r="AJ71" s="611" t="s">
        <v>2116</v>
      </c>
      <c r="AK71" s="611" t="s">
        <v>2116</v>
      </c>
      <c r="AL71" s="611" t="s">
        <v>2116</v>
      </c>
      <c r="AM71" s="611" t="s">
        <v>2116</v>
      </c>
      <c r="AN71" s="611" t="s">
        <v>2131</v>
      </c>
      <c r="AO71" s="611" t="s">
        <v>2131</v>
      </c>
      <c r="AP71" s="611" t="s">
        <v>2132</v>
      </c>
      <c r="AQ71" s="611" t="s">
        <v>2132</v>
      </c>
      <c r="AR71" s="611" t="s">
        <v>2132</v>
      </c>
      <c r="AS71" s="611" t="s">
        <v>2132</v>
      </c>
      <c r="AT71" s="611" t="s">
        <v>2133</v>
      </c>
      <c r="AU71" s="611" t="s">
        <v>2134</v>
      </c>
      <c r="AV71" s="611" t="s">
        <v>2135</v>
      </c>
      <c r="AW71" s="611" t="s">
        <v>2136</v>
      </c>
      <c r="AX71" s="611" t="s">
        <v>2136</v>
      </c>
      <c r="AY71" s="611" t="s">
        <v>2137</v>
      </c>
      <c r="AZ71" s="611" t="s">
        <v>2138</v>
      </c>
      <c r="BA71" s="611" t="s">
        <v>2139</v>
      </c>
      <c r="BB71" s="611" t="s">
        <v>2139</v>
      </c>
    </row>
    <row r="72" customFormat="false" ht="12.75" hidden="false" customHeight="false" outlineLevel="0" collapsed="false">
      <c r="B72" s="665" t="s">
        <v>981</v>
      </c>
      <c r="C72" s="666" t="n">
        <v>9</v>
      </c>
      <c r="D72" s="599" t="n">
        <v>9</v>
      </c>
      <c r="E72" s="599" t="n">
        <v>9</v>
      </c>
      <c r="F72" s="599" t="n">
        <v>9</v>
      </c>
      <c r="G72" s="667" t="n">
        <v>9</v>
      </c>
      <c r="H72" s="667" t="n">
        <v>9</v>
      </c>
      <c r="I72" s="667" t="n">
        <v>9</v>
      </c>
      <c r="J72" s="667" t="n">
        <v>7</v>
      </c>
      <c r="K72" s="667" t="n">
        <v>7</v>
      </c>
      <c r="L72" s="667" t="n">
        <v>9</v>
      </c>
      <c r="M72" s="667" t="n">
        <v>9</v>
      </c>
      <c r="N72" s="667" t="n">
        <v>9</v>
      </c>
      <c r="O72" s="667" t="n">
        <v>9</v>
      </c>
      <c r="P72" s="667" t="n">
        <v>7</v>
      </c>
      <c r="Q72" s="667" t="n">
        <v>9</v>
      </c>
      <c r="R72" s="667" t="n">
        <v>9</v>
      </c>
      <c r="S72" s="667" t="n">
        <v>9</v>
      </c>
      <c r="T72" s="667" t="n">
        <v>7</v>
      </c>
      <c r="U72" s="667" t="n">
        <v>7</v>
      </c>
      <c r="V72" s="667" t="n">
        <v>7</v>
      </c>
      <c r="W72" s="667" t="n">
        <v>9</v>
      </c>
      <c r="X72" s="667" t="n">
        <v>9</v>
      </c>
      <c r="Y72" s="667" t="n">
        <v>9</v>
      </c>
      <c r="Z72" s="667" t="n">
        <v>9</v>
      </c>
      <c r="AA72" s="667" t="n">
        <v>9</v>
      </c>
      <c r="AB72" s="667" t="n">
        <v>9</v>
      </c>
      <c r="AC72" s="667" t="n">
        <v>9</v>
      </c>
      <c r="AD72" s="667" t="n">
        <v>9</v>
      </c>
      <c r="AE72" s="667" t="n">
        <v>9</v>
      </c>
      <c r="AF72" s="667" t="n">
        <v>9</v>
      </c>
      <c r="AG72" s="667" t="n">
        <v>7</v>
      </c>
      <c r="AH72" s="667" t="n">
        <v>7</v>
      </c>
      <c r="AI72" s="667" t="n">
        <v>7</v>
      </c>
      <c r="AJ72" s="667" t="n">
        <v>7</v>
      </c>
      <c r="AK72" s="667" t="n">
        <v>7</v>
      </c>
      <c r="AL72" s="667" t="n">
        <v>7</v>
      </c>
      <c r="AM72" s="667" t="n">
        <v>7</v>
      </c>
      <c r="AN72" s="667" t="n">
        <v>9</v>
      </c>
      <c r="AO72" s="667" t="n">
        <v>9</v>
      </c>
      <c r="AP72" s="667" t="n">
        <v>6</v>
      </c>
      <c r="AQ72" s="667" t="n">
        <v>6</v>
      </c>
      <c r="AR72" s="667" t="n">
        <v>6</v>
      </c>
      <c r="AS72" s="667" t="n">
        <v>6</v>
      </c>
      <c r="AT72" s="667" t="n">
        <v>9</v>
      </c>
      <c r="AU72" s="667" t="n">
        <v>7</v>
      </c>
      <c r="AV72" s="667" t="n">
        <v>9</v>
      </c>
      <c r="AW72" s="667" t="n">
        <v>9</v>
      </c>
      <c r="AX72" s="667" t="n">
        <v>9</v>
      </c>
      <c r="AY72" s="667" t="n">
        <v>9</v>
      </c>
      <c r="AZ72" s="667" t="n">
        <v>9</v>
      </c>
      <c r="BA72" s="667" t="n">
        <v>9</v>
      </c>
      <c r="BB72" s="667" t="n">
        <v>9</v>
      </c>
    </row>
    <row r="73" s="11" customFormat="true" ht="12.75" hidden="false" customHeight="false" outlineLevel="0" collapsed="false">
      <c r="B73" s="662" t="s">
        <v>958</v>
      </c>
      <c r="C73" s="668" t="s">
        <v>2140</v>
      </c>
      <c r="D73" s="611" t="s">
        <v>2141</v>
      </c>
      <c r="E73" s="611" t="s">
        <v>2141</v>
      </c>
      <c r="F73" s="611" t="s">
        <v>2141</v>
      </c>
      <c r="G73" s="611" t="s">
        <v>2142</v>
      </c>
      <c r="H73" s="611" t="s">
        <v>2143</v>
      </c>
      <c r="I73" s="611" t="s">
        <v>2144</v>
      </c>
      <c r="J73" s="611" t="s">
        <v>2145</v>
      </c>
      <c r="K73" s="611" t="s">
        <v>2145</v>
      </c>
      <c r="L73" s="611" t="s">
        <v>2146</v>
      </c>
      <c r="M73" s="611" t="s">
        <v>2147</v>
      </c>
      <c r="N73" s="611" t="s">
        <v>2148</v>
      </c>
      <c r="O73" s="611" t="s">
        <v>2149</v>
      </c>
      <c r="P73" s="611" t="s">
        <v>2145</v>
      </c>
      <c r="Q73" s="611" t="s">
        <v>2150</v>
      </c>
      <c r="R73" s="611" t="s">
        <v>2151</v>
      </c>
      <c r="S73" s="611" t="s">
        <v>2152</v>
      </c>
      <c r="T73" s="611" t="s">
        <v>2145</v>
      </c>
      <c r="U73" s="611" t="s">
        <v>2145</v>
      </c>
      <c r="V73" s="611" t="s">
        <v>2145</v>
      </c>
      <c r="W73" s="611" t="s">
        <v>2153</v>
      </c>
      <c r="X73" s="611" t="s">
        <v>2153</v>
      </c>
      <c r="Y73" s="611" t="s">
        <v>2154</v>
      </c>
      <c r="Z73" s="611" t="s">
        <v>2155</v>
      </c>
      <c r="AA73" s="611" t="s">
        <v>2156</v>
      </c>
      <c r="AB73" s="611" t="s">
        <v>2156</v>
      </c>
      <c r="AC73" s="611" t="s">
        <v>2156</v>
      </c>
      <c r="AD73" s="611" t="s">
        <v>2156</v>
      </c>
      <c r="AE73" s="611" t="s">
        <v>2157</v>
      </c>
      <c r="AF73" s="611" t="s">
        <v>2157</v>
      </c>
      <c r="AG73" s="611" t="s">
        <v>2145</v>
      </c>
      <c r="AH73" s="611" t="s">
        <v>2158</v>
      </c>
      <c r="AI73" s="611" t="s">
        <v>2145</v>
      </c>
      <c r="AJ73" s="611" t="s">
        <v>2145</v>
      </c>
      <c r="AK73" s="611" t="s">
        <v>2145</v>
      </c>
      <c r="AL73" s="611" t="s">
        <v>2145</v>
      </c>
      <c r="AM73" s="611" t="s">
        <v>2145</v>
      </c>
      <c r="AN73" s="611" t="s">
        <v>2159</v>
      </c>
      <c r="AO73" s="611" t="s">
        <v>2159</v>
      </c>
      <c r="AP73" s="611" t="s">
        <v>2145</v>
      </c>
      <c r="AQ73" s="611" t="s">
        <v>2145</v>
      </c>
      <c r="AR73" s="611" t="s">
        <v>2145</v>
      </c>
      <c r="AS73" s="611" t="s">
        <v>2145</v>
      </c>
      <c r="AT73" s="611" t="s">
        <v>2160</v>
      </c>
      <c r="AU73" s="611" t="s">
        <v>2161</v>
      </c>
      <c r="AV73" s="611" t="s">
        <v>2162</v>
      </c>
      <c r="AW73" s="611" t="s">
        <v>2163</v>
      </c>
      <c r="AX73" s="611" t="s">
        <v>2163</v>
      </c>
      <c r="AY73" s="611" t="s">
        <v>2164</v>
      </c>
      <c r="AZ73" s="611" t="s">
        <v>2165</v>
      </c>
      <c r="BA73" s="611" t="s">
        <v>2166</v>
      </c>
      <c r="BB73" s="611" t="s">
        <v>2166</v>
      </c>
    </row>
    <row r="74" customFormat="false" ht="12.75" hidden="false" customHeight="false" outlineLevel="0" collapsed="false">
      <c r="B74" s="665" t="s">
        <v>981</v>
      </c>
      <c r="C74" s="666" t="n">
        <v>13</v>
      </c>
      <c r="D74" s="599" t="n">
        <v>13</v>
      </c>
      <c r="E74" s="599" t="n">
        <v>13</v>
      </c>
      <c r="F74" s="599" t="n">
        <v>13</v>
      </c>
      <c r="G74" s="667" t="n">
        <v>13</v>
      </c>
      <c r="H74" s="667" t="n">
        <v>13</v>
      </c>
      <c r="I74" s="667" t="n">
        <v>13</v>
      </c>
      <c r="J74" s="667" t="n">
        <v>9</v>
      </c>
      <c r="K74" s="667" t="n">
        <v>9</v>
      </c>
      <c r="L74" s="667" t="n">
        <v>13</v>
      </c>
      <c r="M74" s="667" t="n">
        <v>13</v>
      </c>
      <c r="N74" s="667" t="n">
        <v>13</v>
      </c>
      <c r="O74" s="667" t="n">
        <v>13</v>
      </c>
      <c r="P74" s="667" t="n">
        <v>9</v>
      </c>
      <c r="Q74" s="667" t="n">
        <v>13</v>
      </c>
      <c r="R74" s="667" t="n">
        <v>13</v>
      </c>
      <c r="S74" s="667" t="n">
        <v>13</v>
      </c>
      <c r="T74" s="667" t="n">
        <v>9</v>
      </c>
      <c r="U74" s="667" t="n">
        <v>9</v>
      </c>
      <c r="V74" s="667" t="n">
        <v>9</v>
      </c>
      <c r="W74" s="667" t="n">
        <v>13</v>
      </c>
      <c r="X74" s="667" t="n">
        <v>13</v>
      </c>
      <c r="Y74" s="667" t="n">
        <v>13</v>
      </c>
      <c r="Z74" s="667" t="n">
        <v>13</v>
      </c>
      <c r="AA74" s="667" t="n">
        <v>13</v>
      </c>
      <c r="AB74" s="667" t="n">
        <v>13</v>
      </c>
      <c r="AC74" s="667" t="n">
        <v>13</v>
      </c>
      <c r="AD74" s="667" t="n">
        <v>13</v>
      </c>
      <c r="AE74" s="667" t="n">
        <v>10</v>
      </c>
      <c r="AF74" s="667" t="n">
        <v>10</v>
      </c>
      <c r="AG74" s="667" t="n">
        <v>9</v>
      </c>
      <c r="AH74" s="667" t="n">
        <v>9</v>
      </c>
      <c r="AI74" s="667" t="n">
        <v>9</v>
      </c>
      <c r="AJ74" s="667" t="n">
        <v>9</v>
      </c>
      <c r="AK74" s="667" t="n">
        <v>9</v>
      </c>
      <c r="AL74" s="667" t="n">
        <v>9</v>
      </c>
      <c r="AM74" s="667" t="n">
        <v>9</v>
      </c>
      <c r="AN74" s="667" t="n">
        <v>13</v>
      </c>
      <c r="AO74" s="667" t="n">
        <v>13</v>
      </c>
      <c r="AP74" s="667" t="n">
        <v>13</v>
      </c>
      <c r="AQ74" s="667" t="n">
        <v>13</v>
      </c>
      <c r="AR74" s="667" t="n">
        <v>13</v>
      </c>
      <c r="AS74" s="667" t="n">
        <v>13</v>
      </c>
      <c r="AT74" s="667" t="n">
        <v>16</v>
      </c>
      <c r="AU74" s="667" t="n">
        <v>9</v>
      </c>
      <c r="AV74" s="667" t="n">
        <v>13</v>
      </c>
      <c r="AW74" s="667" t="n">
        <v>13</v>
      </c>
      <c r="AX74" s="667" t="n">
        <v>13</v>
      </c>
      <c r="AY74" s="667" t="n">
        <v>13</v>
      </c>
      <c r="AZ74" s="667" t="n">
        <v>13</v>
      </c>
      <c r="BA74" s="667" t="n">
        <v>13</v>
      </c>
      <c r="BB74" s="667" t="n">
        <v>13</v>
      </c>
    </row>
    <row r="75" s="11" customFormat="true" ht="12.75" hidden="false" customHeight="false" outlineLevel="0" collapsed="false">
      <c r="B75" s="662" t="s">
        <v>958</v>
      </c>
      <c r="C75" s="668" t="s">
        <v>2167</v>
      </c>
      <c r="D75" s="611" t="s">
        <v>2168</v>
      </c>
      <c r="E75" s="611" t="s">
        <v>2168</v>
      </c>
      <c r="F75" s="611" t="s">
        <v>2168</v>
      </c>
      <c r="G75" s="611" t="s">
        <v>2169</v>
      </c>
      <c r="H75" s="611" t="s">
        <v>2170</v>
      </c>
      <c r="I75" s="611" t="s">
        <v>2171</v>
      </c>
      <c r="J75" s="611" t="s">
        <v>2172</v>
      </c>
      <c r="K75" s="611" t="s">
        <v>2173</v>
      </c>
      <c r="L75" s="611" t="s">
        <v>2174</v>
      </c>
      <c r="M75" s="611" t="s">
        <v>2175</v>
      </c>
      <c r="N75" s="611" t="s">
        <v>2176</v>
      </c>
      <c r="O75" s="611" t="s">
        <v>2177</v>
      </c>
      <c r="P75" s="611" t="s">
        <v>2178</v>
      </c>
      <c r="Q75" s="611" t="s">
        <v>2179</v>
      </c>
      <c r="R75" s="611" t="s">
        <v>2180</v>
      </c>
      <c r="S75" s="611" t="s">
        <v>2181</v>
      </c>
      <c r="T75" s="611" t="s">
        <v>2173</v>
      </c>
      <c r="U75" s="611" t="s">
        <v>2173</v>
      </c>
      <c r="V75" s="611" t="s">
        <v>2173</v>
      </c>
      <c r="W75" s="611" t="s">
        <v>2182</v>
      </c>
      <c r="X75" s="611" t="s">
        <v>2183</v>
      </c>
      <c r="Y75" s="611" t="s">
        <v>2184</v>
      </c>
      <c r="Z75" s="611" t="s">
        <v>2185</v>
      </c>
      <c r="AA75" s="611" t="s">
        <v>2186</v>
      </c>
      <c r="AB75" s="611" t="s">
        <v>2186</v>
      </c>
      <c r="AC75" s="611" t="s">
        <v>2186</v>
      </c>
      <c r="AD75" s="611" t="s">
        <v>2186</v>
      </c>
      <c r="AE75" s="611" t="s">
        <v>2187</v>
      </c>
      <c r="AF75" s="611" t="s">
        <v>2187</v>
      </c>
      <c r="AG75" s="611" t="s">
        <v>2172</v>
      </c>
      <c r="AH75" s="611" t="s">
        <v>2172</v>
      </c>
      <c r="AI75" s="611" t="s">
        <v>2172</v>
      </c>
      <c r="AJ75" s="611" t="s">
        <v>2172</v>
      </c>
      <c r="AK75" s="611" t="s">
        <v>2172</v>
      </c>
      <c r="AL75" s="611" t="s">
        <v>2172</v>
      </c>
      <c r="AM75" s="611" t="s">
        <v>2172</v>
      </c>
      <c r="AN75" s="611" t="s">
        <v>2188</v>
      </c>
      <c r="AO75" s="611" t="s">
        <v>2188</v>
      </c>
      <c r="AP75" s="611" t="s">
        <v>2189</v>
      </c>
      <c r="AQ75" s="611" t="s">
        <v>2189</v>
      </c>
      <c r="AR75" s="611" t="s">
        <v>2189</v>
      </c>
      <c r="AS75" s="611" t="s">
        <v>2189</v>
      </c>
      <c r="AT75" s="611"/>
      <c r="AU75" s="611" t="s">
        <v>2190</v>
      </c>
      <c r="AV75" s="611" t="s">
        <v>2191</v>
      </c>
      <c r="AW75" s="611" t="s">
        <v>2191</v>
      </c>
      <c r="AX75" s="611" t="s">
        <v>2191</v>
      </c>
      <c r="AY75" s="611" t="s">
        <v>2191</v>
      </c>
      <c r="AZ75" s="611" t="s">
        <v>2192</v>
      </c>
      <c r="BA75" s="611" t="s">
        <v>2193</v>
      </c>
      <c r="BB75" s="611" t="s">
        <v>2193</v>
      </c>
    </row>
    <row r="76" customFormat="false" ht="12.75" hidden="false" customHeight="false" outlineLevel="0" collapsed="false">
      <c r="B76" s="665" t="s">
        <v>981</v>
      </c>
      <c r="C76" s="666" t="n">
        <v>16</v>
      </c>
      <c r="D76" s="599" t="n">
        <v>16</v>
      </c>
      <c r="E76" s="599" t="n">
        <v>16</v>
      </c>
      <c r="F76" s="599" t="n">
        <v>16</v>
      </c>
      <c r="G76" s="667" t="n">
        <v>16</v>
      </c>
      <c r="H76" s="667" t="n">
        <v>16</v>
      </c>
      <c r="I76" s="667" t="n">
        <v>16</v>
      </c>
      <c r="J76" s="667" t="n">
        <v>13</v>
      </c>
      <c r="K76" s="667" t="n">
        <v>13</v>
      </c>
      <c r="L76" s="667" t="n">
        <v>16</v>
      </c>
      <c r="M76" s="667" t="n">
        <v>16</v>
      </c>
      <c r="N76" s="667" t="n">
        <v>16</v>
      </c>
      <c r="O76" s="667" t="n">
        <v>16</v>
      </c>
      <c r="P76" s="667" t="n">
        <v>13</v>
      </c>
      <c r="Q76" s="667" t="n">
        <v>16</v>
      </c>
      <c r="R76" s="667" t="n">
        <v>16</v>
      </c>
      <c r="S76" s="667" t="n">
        <v>16</v>
      </c>
      <c r="T76" s="667" t="n">
        <v>13</v>
      </c>
      <c r="U76" s="667" t="n">
        <v>13</v>
      </c>
      <c r="V76" s="667" t="n">
        <v>13</v>
      </c>
      <c r="W76" s="667" t="n">
        <v>16</v>
      </c>
      <c r="X76" s="667" t="n">
        <v>16</v>
      </c>
      <c r="Y76" s="667"/>
      <c r="Z76" s="667" t="n">
        <v>16</v>
      </c>
      <c r="AA76" s="667" t="n">
        <v>16</v>
      </c>
      <c r="AB76" s="667" t="n">
        <v>16</v>
      </c>
      <c r="AC76" s="667" t="n">
        <v>16</v>
      </c>
      <c r="AD76" s="667" t="n">
        <v>16</v>
      </c>
      <c r="AE76" s="667" t="n">
        <v>13</v>
      </c>
      <c r="AF76" s="667" t="n">
        <v>13</v>
      </c>
      <c r="AG76" s="667" t="n">
        <v>13</v>
      </c>
      <c r="AH76" s="667" t="n">
        <v>13</v>
      </c>
      <c r="AI76" s="667" t="n">
        <v>13</v>
      </c>
      <c r="AJ76" s="667" t="n">
        <v>13</v>
      </c>
      <c r="AK76" s="667" t="n">
        <v>13</v>
      </c>
      <c r="AL76" s="667" t="n">
        <v>13</v>
      </c>
      <c r="AM76" s="667" t="n">
        <v>13</v>
      </c>
      <c r="AN76" s="667" t="n">
        <v>16</v>
      </c>
      <c r="AO76" s="667" t="n">
        <v>16</v>
      </c>
      <c r="AP76" s="667" t="n">
        <v>16</v>
      </c>
      <c r="AQ76" s="667" t="n">
        <v>16</v>
      </c>
      <c r="AR76" s="667" t="n">
        <v>16</v>
      </c>
      <c r="AS76" s="667" t="n">
        <v>16</v>
      </c>
      <c r="AT76" s="667" t="n">
        <v>16</v>
      </c>
      <c r="AU76" s="667" t="n">
        <v>13</v>
      </c>
      <c r="AV76" s="667" t="n">
        <v>16</v>
      </c>
      <c r="AW76" s="667" t="n">
        <v>16</v>
      </c>
      <c r="AX76" s="667" t="n">
        <v>16</v>
      </c>
      <c r="AY76" s="667" t="n">
        <v>16</v>
      </c>
      <c r="AZ76" s="667" t="n">
        <v>16</v>
      </c>
      <c r="BA76" s="667" t="n">
        <v>16</v>
      </c>
      <c r="BB76" s="667" t="n">
        <v>16</v>
      </c>
    </row>
    <row r="77" s="11" customFormat="true" ht="12.75" hidden="false" customHeight="false" outlineLevel="0" collapsed="false">
      <c r="B77" s="662" t="s">
        <v>958</v>
      </c>
      <c r="C77" s="668"/>
      <c r="D77" s="611"/>
      <c r="E77" s="611"/>
      <c r="F77" s="611"/>
      <c r="G77" s="611"/>
      <c r="H77" s="611"/>
      <c r="I77" s="611"/>
      <c r="J77" s="611" t="s">
        <v>2194</v>
      </c>
      <c r="K77" s="611" t="s">
        <v>2195</v>
      </c>
      <c r="L77" s="611"/>
      <c r="M77" s="611"/>
      <c r="N77" s="611"/>
      <c r="O77" s="611"/>
      <c r="P77" s="611" t="s">
        <v>2196</v>
      </c>
      <c r="Q77" s="611"/>
      <c r="R77" s="611"/>
      <c r="S77" s="611"/>
      <c r="T77" s="611" t="s">
        <v>2195</v>
      </c>
      <c r="U77" s="611" t="s">
        <v>2195</v>
      </c>
      <c r="V77" s="611" t="s">
        <v>2195</v>
      </c>
      <c r="W77" s="611"/>
      <c r="X77" s="611"/>
      <c r="Y77" s="611"/>
      <c r="Z77" s="611"/>
      <c r="AA77" s="611"/>
      <c r="AB77" s="611"/>
      <c r="AC77" s="611"/>
      <c r="AD77" s="611"/>
      <c r="AE77" s="611" t="s">
        <v>2197</v>
      </c>
      <c r="AF77" s="611" t="s">
        <v>2197</v>
      </c>
      <c r="AG77" s="611" t="s">
        <v>2194</v>
      </c>
      <c r="AH77" s="611" t="s">
        <v>2194</v>
      </c>
      <c r="AI77" s="611" t="s">
        <v>2194</v>
      </c>
      <c r="AJ77" s="611" t="s">
        <v>2194</v>
      </c>
      <c r="AK77" s="611" t="s">
        <v>2194</v>
      </c>
      <c r="AL77" s="611" t="s">
        <v>2194</v>
      </c>
      <c r="AM77" s="611" t="s">
        <v>2194</v>
      </c>
      <c r="AN77" s="611"/>
      <c r="AO77" s="611"/>
      <c r="AP77" s="611"/>
      <c r="AQ77" s="611"/>
      <c r="AR77" s="611"/>
      <c r="AS77" s="611"/>
      <c r="AT77" s="611"/>
      <c r="AU77" s="611" t="s">
        <v>2198</v>
      </c>
      <c r="AV77" s="611"/>
      <c r="AW77" s="611"/>
      <c r="AX77" s="611"/>
      <c r="AY77" s="611"/>
      <c r="AZ77" s="611"/>
      <c r="BA77" s="611"/>
      <c r="BB77" s="611"/>
    </row>
    <row r="78" customFormat="false" ht="12.75" hidden="false" customHeight="false" outlineLevel="0" collapsed="false">
      <c r="A78" s="11"/>
      <c r="B78" s="669"/>
      <c r="C78" s="670"/>
      <c r="D78" s="121"/>
      <c r="E78" s="121"/>
      <c r="F78" s="12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customFormat="false" ht="12.75" hidden="false" customHeight="false" outlineLevel="0" collapsed="false">
      <c r="B79" s="32"/>
      <c r="C79" s="657"/>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row>
    <row r="80" customFormat="false" ht="12.75" hidden="false" customHeight="false" outlineLevel="0" collapsed="false">
      <c r="B80" s="595" t="s">
        <v>2199</v>
      </c>
      <c r="C80" s="638"/>
      <c r="D80" s="658"/>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71"/>
      <c r="BA80" s="671"/>
      <c r="BB80" s="671"/>
    </row>
    <row r="81" customFormat="false" ht="12.75" hidden="false" customHeight="false" outlineLevel="0" collapsed="false">
      <c r="B81" s="654"/>
      <c r="C81" s="672" t="s">
        <v>1791</v>
      </c>
      <c r="D81" s="594" t="s">
        <v>1330</v>
      </c>
      <c r="E81" s="594" t="s">
        <v>1335</v>
      </c>
      <c r="F81" s="594" t="s">
        <v>1338</v>
      </c>
      <c r="G81" s="594" t="s">
        <v>1342</v>
      </c>
      <c r="H81" s="594" t="s">
        <v>1347</v>
      </c>
      <c r="I81" s="594" t="s">
        <v>1349</v>
      </c>
      <c r="J81" s="594" t="s">
        <v>1351</v>
      </c>
      <c r="K81" s="594" t="s">
        <v>1354</v>
      </c>
      <c r="L81" s="594" t="s">
        <v>986</v>
      </c>
      <c r="M81" s="594" t="s">
        <v>1359</v>
      </c>
      <c r="N81" s="594" t="s">
        <v>1794</v>
      </c>
      <c r="O81" s="594" t="s">
        <v>1362</v>
      </c>
      <c r="P81" s="594" t="s">
        <v>1370</v>
      </c>
      <c r="Q81" s="594" t="s">
        <v>996</v>
      </c>
      <c r="R81" s="594" t="s">
        <v>1391</v>
      </c>
      <c r="S81" s="594" t="s">
        <v>1395</v>
      </c>
      <c r="T81" s="594" t="s">
        <v>1397</v>
      </c>
      <c r="U81" s="594" t="s">
        <v>1401</v>
      </c>
      <c r="V81" s="594" t="s">
        <v>161</v>
      </c>
      <c r="W81" s="594" t="s">
        <v>1411</v>
      </c>
      <c r="X81" s="594" t="s">
        <v>1415</v>
      </c>
      <c r="Y81" s="594" t="s">
        <v>1005</v>
      </c>
      <c r="Z81" s="594" t="s">
        <v>1419</v>
      </c>
      <c r="AA81" s="594" t="s">
        <v>1423</v>
      </c>
      <c r="AB81" s="594" t="s">
        <v>1427</v>
      </c>
      <c r="AC81" s="594" t="s">
        <v>1431</v>
      </c>
      <c r="AD81" s="594" t="s">
        <v>1491</v>
      </c>
      <c r="AE81" s="594" t="s">
        <v>1435</v>
      </c>
      <c r="AF81" s="594" t="s">
        <v>1439</v>
      </c>
      <c r="AG81" s="594" t="s">
        <v>173</v>
      </c>
      <c r="AH81" s="594" t="s">
        <v>1446</v>
      </c>
      <c r="AI81" s="594" t="s">
        <v>1448</v>
      </c>
      <c r="AJ81" s="594" t="s">
        <v>1451</v>
      </c>
      <c r="AK81" s="594" t="s">
        <v>1460</v>
      </c>
      <c r="AL81" s="594" t="s">
        <v>1455</v>
      </c>
      <c r="AM81" s="594" t="s">
        <v>1458</v>
      </c>
      <c r="AN81" s="594" t="s">
        <v>1462</v>
      </c>
      <c r="AO81" s="594" t="s">
        <v>1464</v>
      </c>
      <c r="AP81" s="594" t="s">
        <v>1466</v>
      </c>
      <c r="AQ81" s="594" t="s">
        <v>1468</v>
      </c>
      <c r="AR81" s="594" t="s">
        <v>1470</v>
      </c>
      <c r="AS81" s="594" t="s">
        <v>1472</v>
      </c>
      <c r="AT81" s="594" t="s">
        <v>1474</v>
      </c>
      <c r="AU81" s="594" t="s">
        <v>1008</v>
      </c>
      <c r="AV81" s="594" t="s">
        <v>1477</v>
      </c>
      <c r="AW81" s="594" t="s">
        <v>1479</v>
      </c>
      <c r="AX81" s="603" t="s">
        <v>1481</v>
      </c>
      <c r="AY81" s="594" t="s">
        <v>1483</v>
      </c>
      <c r="AZ81" s="594" t="s">
        <v>1001</v>
      </c>
      <c r="BA81" s="594" t="s">
        <v>1486</v>
      </c>
      <c r="BB81" s="603" t="s">
        <v>1488</v>
      </c>
    </row>
    <row r="82" customFormat="false" ht="12.75" hidden="false" customHeight="false" outlineLevel="0" collapsed="false">
      <c r="B82" s="591" t="n">
        <v>1</v>
      </c>
      <c r="C82" s="607" t="s">
        <v>2200</v>
      </c>
      <c r="D82" s="598" t="s">
        <v>2201</v>
      </c>
      <c r="E82" s="598" t="s">
        <v>2201</v>
      </c>
      <c r="F82" s="598" t="s">
        <v>2201</v>
      </c>
      <c r="G82" s="591" t="s">
        <v>2201</v>
      </c>
      <c r="H82" s="598" t="s">
        <v>2202</v>
      </c>
      <c r="I82" s="591" t="s">
        <v>2201</v>
      </c>
      <c r="J82" s="598" t="s">
        <v>2203</v>
      </c>
      <c r="K82" s="598" t="s">
        <v>2203</v>
      </c>
      <c r="L82" s="591" t="s">
        <v>2201</v>
      </c>
      <c r="M82" s="598" t="s">
        <v>2201</v>
      </c>
      <c r="N82" s="598" t="s">
        <v>2204</v>
      </c>
      <c r="O82" s="598" t="s">
        <v>2204</v>
      </c>
      <c r="P82" s="598" t="s">
        <v>2204</v>
      </c>
      <c r="Q82" s="598" t="s">
        <v>2205</v>
      </c>
      <c r="R82" s="598" t="s">
        <v>2202</v>
      </c>
      <c r="S82" s="598" t="s">
        <v>2201</v>
      </c>
      <c r="T82" s="598" t="s">
        <v>2203</v>
      </c>
      <c r="U82" s="598" t="s">
        <v>2203</v>
      </c>
      <c r="V82" s="598" t="s">
        <v>2203</v>
      </c>
      <c r="W82" s="598" t="s">
        <v>2200</v>
      </c>
      <c r="X82" s="598" t="s">
        <v>2200</v>
      </c>
      <c r="Y82" s="598" t="s">
        <v>2201</v>
      </c>
      <c r="Z82" s="598" t="s">
        <v>2204</v>
      </c>
      <c r="AA82" s="598" t="s">
        <v>1122</v>
      </c>
      <c r="AB82" s="598" t="s">
        <v>1122</v>
      </c>
      <c r="AC82" s="598" t="s">
        <v>1122</v>
      </c>
      <c r="AD82" s="598" t="s">
        <v>1122</v>
      </c>
      <c r="AE82" s="598" t="s">
        <v>2202</v>
      </c>
      <c r="AF82" s="598" t="s">
        <v>2202</v>
      </c>
      <c r="AG82" s="598" t="s">
        <v>2206</v>
      </c>
      <c r="AH82" s="598" t="s">
        <v>2206</v>
      </c>
      <c r="AI82" s="598" t="s">
        <v>2206</v>
      </c>
      <c r="AJ82" s="598" t="s">
        <v>2206</v>
      </c>
      <c r="AK82" s="598" t="s">
        <v>2206</v>
      </c>
      <c r="AL82" s="598" t="s">
        <v>2206</v>
      </c>
      <c r="AM82" s="598" t="s">
        <v>2206</v>
      </c>
      <c r="AN82" s="598" t="s">
        <v>2205</v>
      </c>
      <c r="AO82" s="598" t="s">
        <v>2205</v>
      </c>
      <c r="AP82" s="599" t="s">
        <v>2207</v>
      </c>
      <c r="AQ82" s="599" t="s">
        <v>2207</v>
      </c>
      <c r="AR82" s="599" t="s">
        <v>2207</v>
      </c>
      <c r="AS82" s="599" t="s">
        <v>2207</v>
      </c>
      <c r="AT82" s="599" t="s">
        <v>2207</v>
      </c>
      <c r="AU82" s="599" t="s">
        <v>2207</v>
      </c>
      <c r="AV82" s="598" t="s">
        <v>2205</v>
      </c>
      <c r="AW82" s="598" t="s">
        <v>2202</v>
      </c>
      <c r="AX82" s="598" t="s">
        <v>2202</v>
      </c>
      <c r="AY82" s="598" t="s">
        <v>2201</v>
      </c>
      <c r="AZ82" s="598" t="s">
        <v>2205</v>
      </c>
      <c r="BA82" s="598" t="s">
        <v>2201</v>
      </c>
      <c r="BB82" s="598" t="s">
        <v>2201</v>
      </c>
    </row>
    <row r="83" customFormat="false" ht="12.75" hidden="false" customHeight="false" outlineLevel="0" collapsed="false">
      <c r="B83" s="598" t="n">
        <v>2</v>
      </c>
      <c r="C83" s="598" t="s">
        <v>2202</v>
      </c>
      <c r="D83" s="598" t="s">
        <v>2208</v>
      </c>
      <c r="E83" s="598" t="s">
        <v>2208</v>
      </c>
      <c r="F83" s="598" t="s">
        <v>2208</v>
      </c>
      <c r="G83" s="598" t="s">
        <v>2208</v>
      </c>
      <c r="H83" s="598" t="s">
        <v>2209</v>
      </c>
      <c r="I83" s="598" t="s">
        <v>2210</v>
      </c>
      <c r="J83" s="598" t="s">
        <v>2204</v>
      </c>
      <c r="K83" s="598" t="s">
        <v>2201</v>
      </c>
      <c r="L83" s="598" t="s">
        <v>2211</v>
      </c>
      <c r="M83" s="598" t="s">
        <v>2208</v>
      </c>
      <c r="N83" s="598" t="s">
        <v>2205</v>
      </c>
      <c r="O83" s="598" t="s">
        <v>2202</v>
      </c>
      <c r="P83" s="598" t="s">
        <v>2202</v>
      </c>
      <c r="Q83" s="598" t="s">
        <v>2212</v>
      </c>
      <c r="R83" s="598" t="s">
        <v>2209</v>
      </c>
      <c r="S83" s="598" t="s">
        <v>2208</v>
      </c>
      <c r="T83" s="598" t="s">
        <v>2201</v>
      </c>
      <c r="U83" s="598" t="s">
        <v>2201</v>
      </c>
      <c r="V83" s="598" t="s">
        <v>2201</v>
      </c>
      <c r="W83" s="598" t="s">
        <v>2202</v>
      </c>
      <c r="X83" s="598" t="s">
        <v>2202</v>
      </c>
      <c r="Y83" s="598" t="s">
        <v>2208</v>
      </c>
      <c r="Z83" s="598" t="s">
        <v>2202</v>
      </c>
      <c r="AA83" s="598" t="s">
        <v>2209</v>
      </c>
      <c r="AB83" s="598" t="s">
        <v>2209</v>
      </c>
      <c r="AC83" s="598" t="s">
        <v>2209</v>
      </c>
      <c r="AD83" s="598" t="s">
        <v>2209</v>
      </c>
      <c r="AE83" s="598" t="s">
        <v>2209</v>
      </c>
      <c r="AF83" s="598" t="s">
        <v>2209</v>
      </c>
      <c r="AG83" s="598" t="s">
        <v>2204</v>
      </c>
      <c r="AH83" s="598" t="s">
        <v>2204</v>
      </c>
      <c r="AI83" s="598" t="s">
        <v>2204</v>
      </c>
      <c r="AJ83" s="598" t="s">
        <v>2204</v>
      </c>
      <c r="AK83" s="598" t="s">
        <v>2204</v>
      </c>
      <c r="AL83" s="598" t="s">
        <v>2204</v>
      </c>
      <c r="AM83" s="598" t="s">
        <v>2204</v>
      </c>
      <c r="AN83" s="598" t="s">
        <v>2209</v>
      </c>
      <c r="AO83" s="598" t="s">
        <v>2209</v>
      </c>
      <c r="AP83" s="598" t="s">
        <v>2204</v>
      </c>
      <c r="AQ83" s="598" t="s">
        <v>2204</v>
      </c>
      <c r="AR83" s="598" t="s">
        <v>2204</v>
      </c>
      <c r="AS83" s="598" t="s">
        <v>2204</v>
      </c>
      <c r="AT83" s="598" t="s">
        <v>2202</v>
      </c>
      <c r="AU83" s="598" t="s">
        <v>2213</v>
      </c>
      <c r="AV83" s="598" t="s">
        <v>2202</v>
      </c>
      <c r="AW83" s="598" t="s">
        <v>2209</v>
      </c>
      <c r="AX83" s="598" t="s">
        <v>2209</v>
      </c>
      <c r="AY83" s="598" t="s">
        <v>2208</v>
      </c>
      <c r="AZ83" s="598" t="s">
        <v>2212</v>
      </c>
      <c r="BA83" s="598" t="s">
        <v>2208</v>
      </c>
      <c r="BB83" s="598" t="s">
        <v>2208</v>
      </c>
    </row>
    <row r="84" customFormat="false" ht="12.75" hidden="false" customHeight="false" outlineLevel="0" collapsed="false">
      <c r="B84" s="598" t="n">
        <v>3</v>
      </c>
      <c r="C84" s="598" t="s">
        <v>2209</v>
      </c>
      <c r="D84" s="598" t="s">
        <v>2202</v>
      </c>
      <c r="E84" s="598" t="s">
        <v>2202</v>
      </c>
      <c r="F84" s="598" t="s">
        <v>2202</v>
      </c>
      <c r="G84" s="598" t="s">
        <v>2209</v>
      </c>
      <c r="H84" s="598" t="s">
        <v>2214</v>
      </c>
      <c r="I84" s="598" t="s">
        <v>2208</v>
      </c>
      <c r="J84" s="598" t="s">
        <v>2202</v>
      </c>
      <c r="K84" s="598" t="s">
        <v>2204</v>
      </c>
      <c r="L84" s="598" t="s">
        <v>2208</v>
      </c>
      <c r="M84" s="598" t="s">
        <v>2202</v>
      </c>
      <c r="N84" s="598" t="s">
        <v>2214</v>
      </c>
      <c r="O84" s="598" t="s">
        <v>2209</v>
      </c>
      <c r="P84" s="598" t="s">
        <v>2209</v>
      </c>
      <c r="Q84" s="598" t="s">
        <v>2215</v>
      </c>
      <c r="R84" s="598" t="s">
        <v>2216</v>
      </c>
      <c r="S84" s="598" t="s">
        <v>2209</v>
      </c>
      <c r="T84" s="598" t="s">
        <v>2204</v>
      </c>
      <c r="U84" s="598" t="s">
        <v>2204</v>
      </c>
      <c r="V84" s="598" t="s">
        <v>2204</v>
      </c>
      <c r="W84" s="598" t="s">
        <v>2216</v>
      </c>
      <c r="X84" s="598" t="s">
        <v>2216</v>
      </c>
      <c r="Y84" s="598" t="s">
        <v>2205</v>
      </c>
      <c r="Z84" s="598" t="s">
        <v>2209</v>
      </c>
      <c r="AA84" s="598" t="s">
        <v>2216</v>
      </c>
      <c r="AB84" s="598" t="s">
        <v>2216</v>
      </c>
      <c r="AC84" s="598" t="s">
        <v>2216</v>
      </c>
      <c r="AD84" s="598" t="s">
        <v>2216</v>
      </c>
      <c r="AE84" s="598" t="s">
        <v>2216</v>
      </c>
      <c r="AF84" s="598" t="s">
        <v>2216</v>
      </c>
      <c r="AG84" s="598" t="s">
        <v>2202</v>
      </c>
      <c r="AH84" s="598" t="s">
        <v>2202</v>
      </c>
      <c r="AI84" s="598" t="s">
        <v>2202</v>
      </c>
      <c r="AJ84" s="598" t="s">
        <v>2202</v>
      </c>
      <c r="AK84" s="598" t="s">
        <v>2202</v>
      </c>
      <c r="AL84" s="598" t="s">
        <v>2202</v>
      </c>
      <c r="AM84" s="598" t="s">
        <v>2202</v>
      </c>
      <c r="AN84" s="598" t="s">
        <v>2215</v>
      </c>
      <c r="AO84" s="598" t="s">
        <v>2215</v>
      </c>
      <c r="AP84" s="598" t="s">
        <v>2202</v>
      </c>
      <c r="AQ84" s="598" t="s">
        <v>2202</v>
      </c>
      <c r="AR84" s="598" t="s">
        <v>2202</v>
      </c>
      <c r="AS84" s="598" t="s">
        <v>2202</v>
      </c>
      <c r="AT84" s="598" t="s">
        <v>2209</v>
      </c>
      <c r="AU84" s="598" t="s">
        <v>2202</v>
      </c>
      <c r="AV84" s="598" t="s">
        <v>2209</v>
      </c>
      <c r="AW84" s="598" t="s">
        <v>2214</v>
      </c>
      <c r="AX84" s="598" t="s">
        <v>2214</v>
      </c>
      <c r="AY84" s="598" t="s">
        <v>2202</v>
      </c>
      <c r="AZ84" s="598" t="s">
        <v>2215</v>
      </c>
      <c r="BA84" s="598" t="s">
        <v>2202</v>
      </c>
      <c r="BB84" s="598" t="s">
        <v>2202</v>
      </c>
    </row>
    <row r="85" customFormat="false" ht="12.75" hidden="false" customHeight="false" outlineLevel="0" collapsed="false">
      <c r="B85" s="598" t="n">
        <v>4</v>
      </c>
      <c r="C85" s="598" t="s">
        <v>2216</v>
      </c>
      <c r="D85" s="598" t="s">
        <v>2209</v>
      </c>
      <c r="E85" s="598" t="s">
        <v>2209</v>
      </c>
      <c r="F85" s="598" t="s">
        <v>2209</v>
      </c>
      <c r="G85" s="598" t="s">
        <v>2217</v>
      </c>
      <c r="H85" s="598" t="s">
        <v>2218</v>
      </c>
      <c r="I85" s="598" t="s">
        <v>2202</v>
      </c>
      <c r="J85" s="598" t="s">
        <v>2209</v>
      </c>
      <c r="K85" s="598" t="s">
        <v>2208</v>
      </c>
      <c r="L85" s="598" t="s">
        <v>2205</v>
      </c>
      <c r="M85" s="598" t="s">
        <v>2209</v>
      </c>
      <c r="N85" s="598" t="s">
        <v>2219</v>
      </c>
      <c r="O85" s="598" t="s">
        <v>2214</v>
      </c>
      <c r="P85" s="598" t="s">
        <v>2214</v>
      </c>
      <c r="Q85" s="598" t="s">
        <v>2214</v>
      </c>
      <c r="R85" s="598" t="s">
        <v>2220</v>
      </c>
      <c r="S85" s="598" t="s">
        <v>2217</v>
      </c>
      <c r="T85" s="598" t="s">
        <v>2208</v>
      </c>
      <c r="U85" s="598" t="s">
        <v>2208</v>
      </c>
      <c r="V85" s="598" t="s">
        <v>2208</v>
      </c>
      <c r="W85" s="598" t="s">
        <v>2221</v>
      </c>
      <c r="X85" s="598" t="s">
        <v>2221</v>
      </c>
      <c r="Y85" s="598" t="s">
        <v>2217</v>
      </c>
      <c r="Z85" s="598" t="s">
        <v>2215</v>
      </c>
      <c r="AA85" s="598" t="s">
        <v>2214</v>
      </c>
      <c r="AB85" s="598" t="s">
        <v>2214</v>
      </c>
      <c r="AC85" s="598" t="s">
        <v>2214</v>
      </c>
      <c r="AD85" s="598" t="s">
        <v>2214</v>
      </c>
      <c r="AE85" s="598" t="s">
        <v>2214</v>
      </c>
      <c r="AF85" s="598" t="s">
        <v>2214</v>
      </c>
      <c r="AG85" s="598" t="s">
        <v>2209</v>
      </c>
      <c r="AH85" s="598" t="s">
        <v>2209</v>
      </c>
      <c r="AI85" s="598" t="s">
        <v>2209</v>
      </c>
      <c r="AJ85" s="598" t="s">
        <v>2209</v>
      </c>
      <c r="AK85" s="598" t="s">
        <v>2209</v>
      </c>
      <c r="AL85" s="598" t="s">
        <v>2209</v>
      </c>
      <c r="AM85" s="598" t="s">
        <v>2209</v>
      </c>
      <c r="AN85" s="598" t="s">
        <v>2214</v>
      </c>
      <c r="AO85" s="598" t="s">
        <v>2214</v>
      </c>
      <c r="AP85" s="598" t="s">
        <v>2209</v>
      </c>
      <c r="AQ85" s="598" t="s">
        <v>2209</v>
      </c>
      <c r="AR85" s="598" t="s">
        <v>2209</v>
      </c>
      <c r="AS85" s="598" t="s">
        <v>2209</v>
      </c>
      <c r="AT85" s="598" t="s">
        <v>2216</v>
      </c>
      <c r="AU85" s="598" t="s">
        <v>2216</v>
      </c>
      <c r="AV85" s="598" t="s">
        <v>2214</v>
      </c>
      <c r="AW85" s="598" t="s">
        <v>2218</v>
      </c>
      <c r="AX85" s="598" t="s">
        <v>2218</v>
      </c>
      <c r="AY85" s="598" t="s">
        <v>2209</v>
      </c>
      <c r="AZ85" s="598" t="s">
        <v>2214</v>
      </c>
      <c r="BA85" s="598" t="s">
        <v>2209</v>
      </c>
      <c r="BB85" s="598" t="s">
        <v>2209</v>
      </c>
    </row>
    <row r="86" customFormat="false" ht="12.75" hidden="false" customHeight="false" outlineLevel="0" collapsed="false">
      <c r="B86" s="598" t="n">
        <v>5</v>
      </c>
      <c r="C86" s="599" t="s">
        <v>2221</v>
      </c>
      <c r="D86" s="598" t="s">
        <v>2222</v>
      </c>
      <c r="E86" s="598" t="s">
        <v>2222</v>
      </c>
      <c r="F86" s="598" t="s">
        <v>2222</v>
      </c>
      <c r="G86" s="598" t="s">
        <v>2214</v>
      </c>
      <c r="H86" s="598" t="s">
        <v>2223</v>
      </c>
      <c r="I86" s="598" t="s">
        <v>2217</v>
      </c>
      <c r="J86" s="598" t="s">
        <v>2215</v>
      </c>
      <c r="K86" s="598" t="s">
        <v>2202</v>
      </c>
      <c r="L86" s="598" t="s">
        <v>2216</v>
      </c>
      <c r="M86" s="598" t="s">
        <v>2216</v>
      </c>
      <c r="N86" s="598" t="s">
        <v>2224</v>
      </c>
      <c r="O86" s="598" t="s">
        <v>2218</v>
      </c>
      <c r="P86" s="598" t="s">
        <v>2218</v>
      </c>
      <c r="Q86" s="598" t="s">
        <v>2225</v>
      </c>
      <c r="R86" s="598" t="s">
        <v>2218</v>
      </c>
      <c r="S86" s="598" t="s">
        <v>2214</v>
      </c>
      <c r="T86" s="598" t="s">
        <v>2202</v>
      </c>
      <c r="U86" s="598" t="s">
        <v>2202</v>
      </c>
      <c r="V86" s="598" t="s">
        <v>2202</v>
      </c>
      <c r="W86" s="598" t="s">
        <v>2214</v>
      </c>
      <c r="X86" s="598" t="s">
        <v>2214</v>
      </c>
      <c r="Y86" s="598" t="s">
        <v>2214</v>
      </c>
      <c r="Z86" s="598" t="s">
        <v>2214</v>
      </c>
      <c r="AA86" s="598" t="s">
        <v>2218</v>
      </c>
      <c r="AB86" s="598" t="s">
        <v>2218</v>
      </c>
      <c r="AC86" s="598" t="s">
        <v>2218</v>
      </c>
      <c r="AD86" s="598" t="s">
        <v>2218</v>
      </c>
      <c r="AE86" s="598" t="s">
        <v>2226</v>
      </c>
      <c r="AF86" s="598" t="s">
        <v>2226</v>
      </c>
      <c r="AG86" s="598" t="s">
        <v>2215</v>
      </c>
      <c r="AH86" s="598" t="s">
        <v>2215</v>
      </c>
      <c r="AI86" s="598" t="s">
        <v>2215</v>
      </c>
      <c r="AJ86" s="598" t="s">
        <v>2215</v>
      </c>
      <c r="AK86" s="598" t="s">
        <v>2215</v>
      </c>
      <c r="AL86" s="598" t="s">
        <v>2215</v>
      </c>
      <c r="AM86" s="598" t="s">
        <v>2215</v>
      </c>
      <c r="AN86" s="598" t="s">
        <v>2218</v>
      </c>
      <c r="AO86" s="598" t="s">
        <v>2218</v>
      </c>
      <c r="AP86" s="598" t="s">
        <v>2214</v>
      </c>
      <c r="AQ86" s="598" t="s">
        <v>2214</v>
      </c>
      <c r="AR86" s="598" t="s">
        <v>2214</v>
      </c>
      <c r="AS86" s="598" t="s">
        <v>2214</v>
      </c>
      <c r="AT86" s="598" t="s">
        <v>2214</v>
      </c>
      <c r="AU86" s="598" t="s">
        <v>2214</v>
      </c>
      <c r="AV86" s="598" t="s">
        <v>2218</v>
      </c>
      <c r="AW86" s="598" t="s">
        <v>2227</v>
      </c>
      <c r="AX86" s="598" t="s">
        <v>2227</v>
      </c>
      <c r="AY86" s="598" t="s">
        <v>2217</v>
      </c>
      <c r="AZ86" s="598" t="s">
        <v>2228</v>
      </c>
      <c r="BA86" s="598" t="s">
        <v>2216</v>
      </c>
      <c r="BB86" s="598" t="s">
        <v>2216</v>
      </c>
    </row>
    <row r="87" customFormat="false" ht="12.75" hidden="false" customHeight="false" outlineLevel="0" collapsed="false">
      <c r="B87" s="598" t="n">
        <v>6</v>
      </c>
      <c r="C87" s="598" t="s">
        <v>2214</v>
      </c>
      <c r="D87" s="598" t="s">
        <v>2217</v>
      </c>
      <c r="E87" s="598" t="s">
        <v>2217</v>
      </c>
      <c r="F87" s="598" t="s">
        <v>2217</v>
      </c>
      <c r="G87" s="598" t="s">
        <v>2223</v>
      </c>
      <c r="H87" s="598" t="s">
        <v>2229</v>
      </c>
      <c r="I87" s="598" t="s">
        <v>2214</v>
      </c>
      <c r="J87" s="598" t="s">
        <v>2214</v>
      </c>
      <c r="K87" s="598" t="s">
        <v>2209</v>
      </c>
      <c r="L87" s="598" t="s">
        <v>2217</v>
      </c>
      <c r="M87" s="598" t="s">
        <v>2217</v>
      </c>
      <c r="N87" s="598" t="s">
        <v>2230</v>
      </c>
      <c r="O87" s="598" t="s">
        <v>2223</v>
      </c>
      <c r="P87" s="598" t="s">
        <v>2223</v>
      </c>
      <c r="Q87" s="598" t="s">
        <v>2231</v>
      </c>
      <c r="R87" s="598" t="s">
        <v>2223</v>
      </c>
      <c r="S87" s="598" t="s">
        <v>2218</v>
      </c>
      <c r="T87" s="598" t="s">
        <v>2209</v>
      </c>
      <c r="U87" s="598" t="s">
        <v>2209</v>
      </c>
      <c r="V87" s="598" t="s">
        <v>2209</v>
      </c>
      <c r="W87" s="598" t="s">
        <v>2218</v>
      </c>
      <c r="X87" s="598" t="s">
        <v>2218</v>
      </c>
      <c r="Y87" s="598" t="s">
        <v>2225</v>
      </c>
      <c r="Z87" s="598" t="s">
        <v>2218</v>
      </c>
      <c r="AA87" s="598" t="s">
        <v>2223</v>
      </c>
      <c r="AB87" s="598" t="s">
        <v>2223</v>
      </c>
      <c r="AC87" s="598" t="s">
        <v>2223</v>
      </c>
      <c r="AD87" s="598" t="s">
        <v>2223</v>
      </c>
      <c r="AE87" s="598" t="s">
        <v>2223</v>
      </c>
      <c r="AF87" s="598" t="s">
        <v>2223</v>
      </c>
      <c r="AG87" s="598" t="s">
        <v>2214</v>
      </c>
      <c r="AH87" s="598" t="s">
        <v>2214</v>
      </c>
      <c r="AI87" s="598" t="s">
        <v>2214</v>
      </c>
      <c r="AJ87" s="598" t="s">
        <v>2214</v>
      </c>
      <c r="AK87" s="598" t="s">
        <v>2214</v>
      </c>
      <c r="AL87" s="598" t="s">
        <v>2214</v>
      </c>
      <c r="AM87" s="598" t="s">
        <v>2214</v>
      </c>
      <c r="AN87" s="598" t="s">
        <v>2223</v>
      </c>
      <c r="AO87" s="598" t="s">
        <v>2223</v>
      </c>
      <c r="AP87" s="598" t="s">
        <v>2218</v>
      </c>
      <c r="AQ87" s="598" t="s">
        <v>2218</v>
      </c>
      <c r="AR87" s="598" t="s">
        <v>2218</v>
      </c>
      <c r="AS87" s="598" t="s">
        <v>2218</v>
      </c>
      <c r="AT87" s="598" t="s">
        <v>2218</v>
      </c>
      <c r="AU87" s="598" t="s">
        <v>2232</v>
      </c>
      <c r="AV87" s="598" t="s">
        <v>2223</v>
      </c>
      <c r="AW87" s="598" t="s">
        <v>2223</v>
      </c>
      <c r="AX87" s="598" t="s">
        <v>2223</v>
      </c>
      <c r="AY87" s="598" t="s">
        <v>2214</v>
      </c>
      <c r="AZ87" s="598" t="s">
        <v>2224</v>
      </c>
      <c r="BA87" s="598" t="s">
        <v>2217</v>
      </c>
      <c r="BB87" s="598" t="s">
        <v>2217</v>
      </c>
    </row>
    <row r="88" customFormat="false" ht="12.75" hidden="false" customHeight="false" outlineLevel="0" collapsed="false">
      <c r="B88" s="598" t="n">
        <v>7</v>
      </c>
      <c r="C88" s="599" t="s">
        <v>2218</v>
      </c>
      <c r="D88" s="598" t="s">
        <v>2214</v>
      </c>
      <c r="E88" s="598" t="s">
        <v>2214</v>
      </c>
      <c r="F88" s="598" t="s">
        <v>2214</v>
      </c>
      <c r="G88" s="598" t="s">
        <v>2233</v>
      </c>
      <c r="H88" s="598" t="s">
        <v>2234</v>
      </c>
      <c r="I88" s="598" t="s">
        <v>2223</v>
      </c>
      <c r="J88" s="598" t="s">
        <v>2235</v>
      </c>
      <c r="K88" s="598" t="s">
        <v>2217</v>
      </c>
      <c r="L88" s="598" t="s">
        <v>2214</v>
      </c>
      <c r="M88" s="598" t="s">
        <v>2214</v>
      </c>
      <c r="N88" s="598" t="s">
        <v>2236</v>
      </c>
      <c r="O88" s="598" t="s">
        <v>2237</v>
      </c>
      <c r="P88" s="598" t="s">
        <v>2234</v>
      </c>
      <c r="Q88" s="598" t="s">
        <v>2238</v>
      </c>
      <c r="R88" s="598" t="s">
        <v>2234</v>
      </c>
      <c r="S88" s="598" t="s">
        <v>2239</v>
      </c>
      <c r="T88" s="598" t="s">
        <v>2217</v>
      </c>
      <c r="U88" s="598" t="s">
        <v>2217</v>
      </c>
      <c r="V88" s="598" t="s">
        <v>2217</v>
      </c>
      <c r="W88" s="598" t="s">
        <v>2240</v>
      </c>
      <c r="X88" s="598" t="s">
        <v>2240</v>
      </c>
      <c r="Y88" s="598" t="s">
        <v>2218</v>
      </c>
      <c r="Z88" s="598" t="s">
        <v>2241</v>
      </c>
      <c r="AA88" s="598" t="s">
        <v>2242</v>
      </c>
      <c r="AB88" s="598" t="s">
        <v>2242</v>
      </c>
      <c r="AC88" s="598" t="s">
        <v>2242</v>
      </c>
      <c r="AD88" s="598" t="s">
        <v>2242</v>
      </c>
      <c r="AE88" s="598" t="s">
        <v>2243</v>
      </c>
      <c r="AF88" s="598" t="s">
        <v>2243</v>
      </c>
      <c r="AG88" s="598" t="s">
        <v>2235</v>
      </c>
      <c r="AH88" s="598" t="s">
        <v>2235</v>
      </c>
      <c r="AI88" s="598" t="s">
        <v>2235</v>
      </c>
      <c r="AJ88" s="598" t="s">
        <v>2235</v>
      </c>
      <c r="AK88" s="598" t="s">
        <v>2235</v>
      </c>
      <c r="AL88" s="598" t="s">
        <v>2235</v>
      </c>
      <c r="AM88" s="598" t="s">
        <v>2235</v>
      </c>
      <c r="AN88" s="598" t="s">
        <v>2228</v>
      </c>
      <c r="AO88" s="598" t="s">
        <v>2228</v>
      </c>
      <c r="AP88" s="598" t="s">
        <v>2223</v>
      </c>
      <c r="AQ88" s="598" t="s">
        <v>2223</v>
      </c>
      <c r="AR88" s="598" t="s">
        <v>2223</v>
      </c>
      <c r="AS88" s="598" t="s">
        <v>2223</v>
      </c>
      <c r="AT88" s="598" t="s">
        <v>2223</v>
      </c>
      <c r="AU88" s="598" t="s">
        <v>2244</v>
      </c>
      <c r="AV88" s="598" t="s">
        <v>2228</v>
      </c>
      <c r="AW88" s="598" t="s">
        <v>2243</v>
      </c>
      <c r="AX88" s="598" t="s">
        <v>2243</v>
      </c>
      <c r="AY88" s="598" t="s">
        <v>2218</v>
      </c>
      <c r="AZ88" s="598" t="s">
        <v>2230</v>
      </c>
      <c r="BA88" s="598" t="s">
        <v>2214</v>
      </c>
      <c r="BB88" s="598" t="s">
        <v>2214</v>
      </c>
    </row>
    <row r="89" customFormat="false" ht="12.75" hidden="false" customHeight="false" outlineLevel="0" collapsed="false">
      <c r="B89" s="598" t="n">
        <v>8</v>
      </c>
      <c r="C89" s="673" t="s">
        <v>2240</v>
      </c>
      <c r="D89" s="598" t="s">
        <v>2235</v>
      </c>
      <c r="E89" s="598" t="s">
        <v>2235</v>
      </c>
      <c r="F89" s="598" t="s">
        <v>2235</v>
      </c>
      <c r="G89" s="598" t="s">
        <v>2245</v>
      </c>
      <c r="H89" s="598" t="s">
        <v>2243</v>
      </c>
      <c r="I89" s="598" t="s">
        <v>2246</v>
      </c>
      <c r="J89" s="598" t="s">
        <v>2218</v>
      </c>
      <c r="K89" s="598" t="s">
        <v>2214</v>
      </c>
      <c r="L89" s="598" t="s">
        <v>2225</v>
      </c>
      <c r="M89" s="598" t="s">
        <v>2218</v>
      </c>
      <c r="N89" s="598" t="s">
        <v>2247</v>
      </c>
      <c r="O89" s="598" t="s">
        <v>2243</v>
      </c>
      <c r="P89" s="598" t="s">
        <v>2243</v>
      </c>
      <c r="Q89" s="598" t="s">
        <v>2224</v>
      </c>
      <c r="R89" s="599" t="s">
        <v>2238</v>
      </c>
      <c r="S89" s="598" t="s">
        <v>2223</v>
      </c>
      <c r="T89" s="598" t="s">
        <v>2214</v>
      </c>
      <c r="U89" s="598" t="s">
        <v>2214</v>
      </c>
      <c r="V89" s="598" t="s">
        <v>2214</v>
      </c>
      <c r="W89" s="598" t="s">
        <v>2234</v>
      </c>
      <c r="X89" s="598" t="s">
        <v>2234</v>
      </c>
      <c r="Y89" s="598" t="s">
        <v>2232</v>
      </c>
      <c r="Z89" s="598" t="s">
        <v>2248</v>
      </c>
      <c r="AA89" s="598" t="s">
        <v>2243</v>
      </c>
      <c r="AB89" s="598" t="s">
        <v>2243</v>
      </c>
      <c r="AC89" s="598" t="s">
        <v>2243</v>
      </c>
      <c r="AD89" s="598" t="s">
        <v>2243</v>
      </c>
      <c r="AE89" s="598" t="s">
        <v>2249</v>
      </c>
      <c r="AF89" s="598" t="s">
        <v>2249</v>
      </c>
      <c r="AG89" s="598" t="s">
        <v>2218</v>
      </c>
      <c r="AH89" s="598" t="s">
        <v>2218</v>
      </c>
      <c r="AI89" s="598" t="s">
        <v>2218</v>
      </c>
      <c r="AJ89" s="598" t="s">
        <v>2218</v>
      </c>
      <c r="AK89" s="598" t="s">
        <v>2218</v>
      </c>
      <c r="AL89" s="598" t="s">
        <v>2218</v>
      </c>
      <c r="AM89" s="598" t="s">
        <v>2218</v>
      </c>
      <c r="AN89" s="598" t="s">
        <v>2248</v>
      </c>
      <c r="AO89" s="598" t="s">
        <v>2248</v>
      </c>
      <c r="AP89" s="598" t="s">
        <v>2228</v>
      </c>
      <c r="AQ89" s="598" t="s">
        <v>2228</v>
      </c>
      <c r="AR89" s="598" t="s">
        <v>2228</v>
      </c>
      <c r="AS89" s="598" t="s">
        <v>2228</v>
      </c>
      <c r="AT89" s="598" t="s">
        <v>2234</v>
      </c>
      <c r="AU89" s="598" t="s">
        <v>2250</v>
      </c>
      <c r="AV89" s="598" t="s">
        <v>2248</v>
      </c>
      <c r="AW89" s="598" t="s">
        <v>2251</v>
      </c>
      <c r="AX89" s="598" t="s">
        <v>2251</v>
      </c>
      <c r="AY89" s="598" t="s">
        <v>2227</v>
      </c>
      <c r="AZ89" s="598" t="s">
        <v>2236</v>
      </c>
      <c r="BA89" s="598" t="s">
        <v>2218</v>
      </c>
      <c r="BB89" s="598" t="s">
        <v>2218</v>
      </c>
    </row>
    <row r="90" customFormat="false" ht="12.75" hidden="false" customHeight="false" outlineLevel="0" collapsed="false">
      <c r="B90" s="598" t="n">
        <v>9</v>
      </c>
      <c r="C90" s="598" t="s">
        <v>2223</v>
      </c>
      <c r="D90" s="598" t="s">
        <v>2218</v>
      </c>
      <c r="E90" s="598" t="s">
        <v>2218</v>
      </c>
      <c r="F90" s="598" t="s">
        <v>2218</v>
      </c>
      <c r="G90" s="598" t="s">
        <v>2252</v>
      </c>
      <c r="H90" s="598" t="s">
        <v>2244</v>
      </c>
      <c r="I90" s="598" t="s">
        <v>2243</v>
      </c>
      <c r="J90" s="599" t="s">
        <v>2241</v>
      </c>
      <c r="K90" s="598" t="s">
        <v>2223</v>
      </c>
      <c r="L90" s="598" t="s">
        <v>2232</v>
      </c>
      <c r="M90" s="598" t="s">
        <v>2223</v>
      </c>
      <c r="N90" s="598" t="s">
        <v>2253</v>
      </c>
      <c r="O90" s="598" t="s">
        <v>2249</v>
      </c>
      <c r="P90" s="598" t="s">
        <v>2244</v>
      </c>
      <c r="Q90" s="598" t="s">
        <v>2230</v>
      </c>
      <c r="R90" s="599" t="s">
        <v>2243</v>
      </c>
      <c r="S90" s="598" t="s">
        <v>2228</v>
      </c>
      <c r="T90" s="598" t="s">
        <v>2223</v>
      </c>
      <c r="U90" s="598" t="s">
        <v>2223</v>
      </c>
      <c r="V90" s="598" t="s">
        <v>2223</v>
      </c>
      <c r="W90" s="598" t="s">
        <v>2238</v>
      </c>
      <c r="X90" s="598" t="s">
        <v>2238</v>
      </c>
      <c r="Y90" s="598" t="s">
        <v>2224</v>
      </c>
      <c r="Z90" s="598" t="s">
        <v>2243</v>
      </c>
      <c r="AA90" s="598" t="s">
        <v>2244</v>
      </c>
      <c r="AB90" s="598" t="s">
        <v>2244</v>
      </c>
      <c r="AC90" s="598" t="s">
        <v>2244</v>
      </c>
      <c r="AD90" s="598" t="s">
        <v>2244</v>
      </c>
      <c r="AE90" s="598" t="s">
        <v>2251</v>
      </c>
      <c r="AF90" s="598" t="s">
        <v>2251</v>
      </c>
      <c r="AG90" s="599" t="s">
        <v>2241</v>
      </c>
      <c r="AH90" s="599" t="s">
        <v>2241</v>
      </c>
      <c r="AI90" s="599" t="s">
        <v>2241</v>
      </c>
      <c r="AJ90" s="599" t="s">
        <v>2241</v>
      </c>
      <c r="AK90" s="599" t="s">
        <v>2241</v>
      </c>
      <c r="AL90" s="599" t="s">
        <v>2241</v>
      </c>
      <c r="AM90" s="599" t="s">
        <v>2241</v>
      </c>
      <c r="AN90" s="598" t="s">
        <v>2243</v>
      </c>
      <c r="AO90" s="598" t="s">
        <v>2243</v>
      </c>
      <c r="AP90" s="598" t="s">
        <v>2243</v>
      </c>
      <c r="AQ90" s="598" t="s">
        <v>2243</v>
      </c>
      <c r="AR90" s="598" t="s">
        <v>2243</v>
      </c>
      <c r="AS90" s="598" t="s">
        <v>2243</v>
      </c>
      <c r="AT90" s="599" t="s">
        <v>2238</v>
      </c>
      <c r="AU90" s="598" t="s">
        <v>2251</v>
      </c>
      <c r="AV90" s="598" t="s">
        <v>2243</v>
      </c>
      <c r="AW90" s="598" t="s">
        <v>2254</v>
      </c>
      <c r="AX90" s="598" t="s">
        <v>2254</v>
      </c>
      <c r="AY90" s="598" t="s">
        <v>2223</v>
      </c>
      <c r="AZ90" s="598" t="s">
        <v>2247</v>
      </c>
      <c r="BA90" s="598" t="s">
        <v>2223</v>
      </c>
      <c r="BB90" s="598" t="s">
        <v>2223</v>
      </c>
    </row>
    <row r="91" customFormat="false" ht="12.75" hidden="false" customHeight="false" outlineLevel="0" collapsed="false">
      <c r="B91" s="598" t="n">
        <v>10</v>
      </c>
      <c r="C91" s="598" t="s">
        <v>2234</v>
      </c>
      <c r="D91" s="598" t="s">
        <v>2223</v>
      </c>
      <c r="E91" s="598" t="s">
        <v>2223</v>
      </c>
      <c r="F91" s="598" t="s">
        <v>2223</v>
      </c>
      <c r="G91" s="598" t="s">
        <v>2243</v>
      </c>
      <c r="H91" s="598" t="s">
        <v>2251</v>
      </c>
      <c r="I91" s="598" t="s">
        <v>2244</v>
      </c>
      <c r="J91" s="598" t="s">
        <v>2234</v>
      </c>
      <c r="K91" s="598" t="s">
        <v>2234</v>
      </c>
      <c r="L91" s="598" t="s">
        <v>2244</v>
      </c>
      <c r="M91" s="598" t="s">
        <v>2228</v>
      </c>
      <c r="N91" s="673" t="s">
        <v>2250</v>
      </c>
      <c r="O91" s="598" t="s">
        <v>2251</v>
      </c>
      <c r="P91" s="598" t="s">
        <v>2255</v>
      </c>
      <c r="Q91" s="673" t="s">
        <v>2236</v>
      </c>
      <c r="R91" s="598" t="s">
        <v>2251</v>
      </c>
      <c r="S91" s="598" t="s">
        <v>2256</v>
      </c>
      <c r="T91" s="598" t="s">
        <v>2234</v>
      </c>
      <c r="U91" s="598" t="s">
        <v>2234</v>
      </c>
      <c r="V91" s="598" t="s">
        <v>2234</v>
      </c>
      <c r="W91" s="598" t="s">
        <v>2251</v>
      </c>
      <c r="X91" s="598" t="s">
        <v>2251</v>
      </c>
      <c r="Y91" s="598" t="s">
        <v>2230</v>
      </c>
      <c r="Z91" s="598" t="s">
        <v>2244</v>
      </c>
      <c r="AA91" s="599" t="s">
        <v>2251</v>
      </c>
      <c r="AB91" s="599" t="s">
        <v>2251</v>
      </c>
      <c r="AC91" s="599" t="s">
        <v>2251</v>
      </c>
      <c r="AD91" s="599" t="s">
        <v>2251</v>
      </c>
      <c r="AE91" s="598" t="s">
        <v>2257</v>
      </c>
      <c r="AF91" s="598" t="s">
        <v>2257</v>
      </c>
      <c r="AG91" s="598" t="s">
        <v>2234</v>
      </c>
      <c r="AH91" s="598" t="s">
        <v>2234</v>
      </c>
      <c r="AI91" s="598" t="s">
        <v>2234</v>
      </c>
      <c r="AJ91" s="598" t="s">
        <v>2234</v>
      </c>
      <c r="AK91" s="598" t="s">
        <v>2234</v>
      </c>
      <c r="AL91" s="598" t="s">
        <v>2234</v>
      </c>
      <c r="AM91" s="598" t="s">
        <v>2234</v>
      </c>
      <c r="AN91" s="598" t="s">
        <v>2244</v>
      </c>
      <c r="AO91" s="598" t="s">
        <v>2244</v>
      </c>
      <c r="AP91" s="598" t="s">
        <v>2244</v>
      </c>
      <c r="AQ91" s="598" t="s">
        <v>2244</v>
      </c>
      <c r="AR91" s="598" t="s">
        <v>2244</v>
      </c>
      <c r="AS91" s="598" t="s">
        <v>2244</v>
      </c>
      <c r="AT91" s="599" t="s">
        <v>2243</v>
      </c>
      <c r="AU91" s="598" t="s">
        <v>2254</v>
      </c>
      <c r="AV91" s="598" t="s">
        <v>2244</v>
      </c>
      <c r="AW91" s="598" t="s">
        <v>2258</v>
      </c>
      <c r="AX91" s="598" t="s">
        <v>2258</v>
      </c>
      <c r="AY91" s="598" t="s">
        <v>2243</v>
      </c>
      <c r="AZ91" s="598" t="s">
        <v>2253</v>
      </c>
      <c r="BA91" s="598" t="s">
        <v>2234</v>
      </c>
      <c r="BB91" s="598" t="s">
        <v>2234</v>
      </c>
    </row>
    <row r="92" customFormat="false" ht="12.75" hidden="false" customHeight="false" outlineLevel="0" collapsed="false">
      <c r="B92" s="598" t="n">
        <v>11</v>
      </c>
      <c r="C92" s="599" t="s">
        <v>2242</v>
      </c>
      <c r="D92" s="598" t="s">
        <v>2234</v>
      </c>
      <c r="E92" s="598" t="s">
        <v>2234</v>
      </c>
      <c r="F92" s="598" t="s">
        <v>2234</v>
      </c>
      <c r="G92" s="598" t="s">
        <v>2219</v>
      </c>
      <c r="H92" s="598" t="s">
        <v>2257</v>
      </c>
      <c r="I92" s="598" t="s">
        <v>2259</v>
      </c>
      <c r="J92" s="598" t="s">
        <v>2248</v>
      </c>
      <c r="K92" s="598" t="s">
        <v>2243</v>
      </c>
      <c r="L92" s="598" t="s">
        <v>2224</v>
      </c>
      <c r="M92" s="599" t="s">
        <v>2260</v>
      </c>
      <c r="N92" s="598" t="s">
        <v>2249</v>
      </c>
      <c r="O92" s="598" t="s">
        <v>2254</v>
      </c>
      <c r="P92" s="598" t="s">
        <v>2251</v>
      </c>
      <c r="Q92" s="598" t="s">
        <v>2247</v>
      </c>
      <c r="R92" s="598" t="s">
        <v>2261</v>
      </c>
      <c r="S92" s="598" t="s">
        <v>2238</v>
      </c>
      <c r="T92" s="598" t="s">
        <v>2243</v>
      </c>
      <c r="U92" s="598" t="s">
        <v>2243</v>
      </c>
      <c r="V92" s="598" t="s">
        <v>2243</v>
      </c>
      <c r="W92" s="598" t="s">
        <v>2261</v>
      </c>
      <c r="X92" s="598" t="s">
        <v>2261</v>
      </c>
      <c r="Y92" s="598" t="s">
        <v>2236</v>
      </c>
      <c r="Z92" s="598" t="s">
        <v>2251</v>
      </c>
      <c r="AA92" s="598" t="s">
        <v>2254</v>
      </c>
      <c r="AB92" s="598" t="s">
        <v>2254</v>
      </c>
      <c r="AC92" s="598" t="s">
        <v>2254</v>
      </c>
      <c r="AD92" s="598" t="s">
        <v>2254</v>
      </c>
      <c r="AE92" s="598" t="s">
        <v>2254</v>
      </c>
      <c r="AF92" s="598" t="s">
        <v>2254</v>
      </c>
      <c r="AG92" s="598" t="s">
        <v>2248</v>
      </c>
      <c r="AH92" s="598" t="s">
        <v>2248</v>
      </c>
      <c r="AI92" s="598" t="s">
        <v>2248</v>
      </c>
      <c r="AJ92" s="598" t="s">
        <v>2238</v>
      </c>
      <c r="AK92" s="598" t="s">
        <v>2248</v>
      </c>
      <c r="AL92" s="598" t="s">
        <v>2248</v>
      </c>
      <c r="AM92" s="598" t="s">
        <v>2248</v>
      </c>
      <c r="AN92" s="598" t="s">
        <v>2259</v>
      </c>
      <c r="AO92" s="598" t="s">
        <v>2259</v>
      </c>
      <c r="AP92" s="598" t="s">
        <v>2251</v>
      </c>
      <c r="AQ92" s="598" t="s">
        <v>2251</v>
      </c>
      <c r="AR92" s="598" t="s">
        <v>2251</v>
      </c>
      <c r="AS92" s="598" t="s">
        <v>2251</v>
      </c>
      <c r="AT92" s="598" t="s">
        <v>2251</v>
      </c>
      <c r="AU92" s="598" t="s">
        <v>2262</v>
      </c>
      <c r="AV92" s="598" t="s">
        <v>2249</v>
      </c>
      <c r="AW92" s="598" t="s">
        <v>2263</v>
      </c>
      <c r="AX92" s="598" t="s">
        <v>2263</v>
      </c>
      <c r="AY92" s="598" t="s">
        <v>2259</v>
      </c>
      <c r="AZ92" s="598" t="s">
        <v>2250</v>
      </c>
      <c r="BA92" s="598" t="s">
        <v>2243</v>
      </c>
      <c r="BB92" s="598" t="s">
        <v>2243</v>
      </c>
    </row>
    <row r="93" customFormat="false" ht="12.75" hidden="false" customHeight="false" outlineLevel="0" collapsed="false">
      <c r="B93" s="598" t="n">
        <v>12</v>
      </c>
      <c r="C93" s="598" t="s">
        <v>2243</v>
      </c>
      <c r="D93" s="598" t="s">
        <v>2248</v>
      </c>
      <c r="E93" s="598" t="s">
        <v>2248</v>
      </c>
      <c r="F93" s="598" t="s">
        <v>2248</v>
      </c>
      <c r="G93" s="598" t="s">
        <v>2259</v>
      </c>
      <c r="H93" s="598" t="s">
        <v>2264</v>
      </c>
      <c r="I93" s="598" t="s">
        <v>2251</v>
      </c>
      <c r="J93" s="598" t="s">
        <v>2243</v>
      </c>
      <c r="K93" s="598" t="s">
        <v>2259</v>
      </c>
      <c r="L93" s="598" t="s">
        <v>2230</v>
      </c>
      <c r="M93" s="598" t="s">
        <v>2238</v>
      </c>
      <c r="N93" s="598" t="s">
        <v>2265</v>
      </c>
      <c r="O93" s="598" t="s">
        <v>2263</v>
      </c>
      <c r="P93" s="598" t="s">
        <v>2266</v>
      </c>
      <c r="Q93" s="598" t="s">
        <v>2253</v>
      </c>
      <c r="R93" s="598" t="s">
        <v>2254</v>
      </c>
      <c r="S93" s="598" t="s">
        <v>2243</v>
      </c>
      <c r="T93" s="598" t="s">
        <v>2259</v>
      </c>
      <c r="U93" s="598" t="s">
        <v>2259</v>
      </c>
      <c r="V93" s="598" t="s">
        <v>2259</v>
      </c>
      <c r="W93" s="598" t="s">
        <v>2267</v>
      </c>
      <c r="X93" s="598" t="s">
        <v>2267</v>
      </c>
      <c r="Y93" s="598" t="s">
        <v>2247</v>
      </c>
      <c r="Z93" s="598" t="s">
        <v>2268</v>
      </c>
      <c r="AA93" s="598" t="s">
        <v>2262</v>
      </c>
      <c r="AB93" s="598" t="s">
        <v>2262</v>
      </c>
      <c r="AC93" s="598" t="s">
        <v>2262</v>
      </c>
      <c r="AD93" s="598" t="s">
        <v>2262</v>
      </c>
      <c r="AE93" s="598" t="s">
        <v>2258</v>
      </c>
      <c r="AF93" s="598" t="s">
        <v>2258</v>
      </c>
      <c r="AG93" s="598" t="s">
        <v>2243</v>
      </c>
      <c r="AH93" s="598" t="s">
        <v>2243</v>
      </c>
      <c r="AI93" s="598" t="s">
        <v>2243</v>
      </c>
      <c r="AJ93" s="598" t="s">
        <v>2248</v>
      </c>
      <c r="AK93" s="598" t="s">
        <v>2243</v>
      </c>
      <c r="AL93" s="598" t="s">
        <v>2243</v>
      </c>
      <c r="AM93" s="598" t="s">
        <v>2243</v>
      </c>
      <c r="AN93" s="598" t="s">
        <v>2269</v>
      </c>
      <c r="AO93" s="598" t="s">
        <v>2269</v>
      </c>
      <c r="AP93" s="598" t="s">
        <v>2265</v>
      </c>
      <c r="AQ93" s="598" t="s">
        <v>2265</v>
      </c>
      <c r="AR93" s="598" t="s">
        <v>2265</v>
      </c>
      <c r="AS93" s="598" t="s">
        <v>2265</v>
      </c>
      <c r="AT93" s="598" t="s">
        <v>2254</v>
      </c>
      <c r="AU93" s="598" t="s">
        <v>2263</v>
      </c>
      <c r="AV93" s="598" t="s">
        <v>2251</v>
      </c>
      <c r="AW93" s="598" t="s">
        <v>2270</v>
      </c>
      <c r="AX93" s="598" t="s">
        <v>2270</v>
      </c>
      <c r="AY93" s="598" t="s">
        <v>2255</v>
      </c>
      <c r="AZ93" s="598" t="s">
        <v>2271</v>
      </c>
      <c r="BA93" s="598" t="s">
        <v>2259</v>
      </c>
      <c r="BB93" s="598" t="s">
        <v>2259</v>
      </c>
    </row>
    <row r="94" customFormat="false" ht="12.75" hidden="false" customHeight="false" outlineLevel="0" collapsed="false">
      <c r="B94" s="598" t="n">
        <v>13</v>
      </c>
      <c r="C94" s="598" t="s">
        <v>2219</v>
      </c>
      <c r="D94" s="598" t="s">
        <v>2243</v>
      </c>
      <c r="E94" s="598" t="s">
        <v>2243</v>
      </c>
      <c r="F94" s="598" t="s">
        <v>2243</v>
      </c>
      <c r="G94" s="598" t="s">
        <v>2272</v>
      </c>
      <c r="H94" s="598" t="s">
        <v>2254</v>
      </c>
      <c r="I94" s="598" t="s">
        <v>2272</v>
      </c>
      <c r="J94" s="598" t="s">
        <v>2244</v>
      </c>
      <c r="K94" s="598" t="s">
        <v>2251</v>
      </c>
      <c r="L94" s="598" t="s">
        <v>2236</v>
      </c>
      <c r="M94" s="598" t="s">
        <v>2243</v>
      </c>
      <c r="N94" s="598" t="s">
        <v>2269</v>
      </c>
      <c r="O94" s="598" t="s">
        <v>2258</v>
      </c>
      <c r="P94" s="598" t="s">
        <v>2267</v>
      </c>
      <c r="Q94" s="598" t="s">
        <v>2250</v>
      </c>
      <c r="R94" s="598" t="s">
        <v>2258</v>
      </c>
      <c r="S94" s="598" t="s">
        <v>2259</v>
      </c>
      <c r="T94" s="598" t="s">
        <v>2251</v>
      </c>
      <c r="U94" s="598" t="s">
        <v>2251</v>
      </c>
      <c r="V94" s="598" t="s">
        <v>2251</v>
      </c>
      <c r="W94" s="598" t="s">
        <v>2263</v>
      </c>
      <c r="X94" s="598" t="s">
        <v>2263</v>
      </c>
      <c r="Y94" s="598" t="s">
        <v>2253</v>
      </c>
      <c r="Z94" s="598" t="s">
        <v>2266</v>
      </c>
      <c r="AA94" s="598" t="s">
        <v>2258</v>
      </c>
      <c r="AB94" s="598" t="s">
        <v>2258</v>
      </c>
      <c r="AC94" s="598" t="s">
        <v>2258</v>
      </c>
      <c r="AD94" s="598" t="s">
        <v>2258</v>
      </c>
      <c r="AE94" s="598" t="s">
        <v>2273</v>
      </c>
      <c r="AF94" s="598" t="s">
        <v>2273</v>
      </c>
      <c r="AG94" s="598" t="s">
        <v>2244</v>
      </c>
      <c r="AH94" s="598" t="s">
        <v>2244</v>
      </c>
      <c r="AI94" s="598" t="s">
        <v>2244</v>
      </c>
      <c r="AJ94" s="598" t="s">
        <v>2243</v>
      </c>
      <c r="AK94" s="598" t="s">
        <v>2244</v>
      </c>
      <c r="AL94" s="598" t="s">
        <v>2244</v>
      </c>
      <c r="AM94" s="598" t="s">
        <v>2244</v>
      </c>
      <c r="AN94" s="598" t="s">
        <v>2261</v>
      </c>
      <c r="AO94" s="598" t="s">
        <v>2261</v>
      </c>
      <c r="AP94" s="598" t="s">
        <v>2268</v>
      </c>
      <c r="AQ94" s="598" t="s">
        <v>2268</v>
      </c>
      <c r="AR94" s="598" t="s">
        <v>2268</v>
      </c>
      <c r="AS94" s="598" t="s">
        <v>2268</v>
      </c>
      <c r="AT94" s="598" t="s">
        <v>2263</v>
      </c>
      <c r="AU94" s="598" t="s">
        <v>2274</v>
      </c>
      <c r="AV94" s="598" t="s">
        <v>2265</v>
      </c>
      <c r="AW94" s="598" t="s">
        <v>2275</v>
      </c>
      <c r="AX94" s="598" t="s">
        <v>2275</v>
      </c>
      <c r="AY94" s="598" t="s">
        <v>2251</v>
      </c>
      <c r="AZ94" s="598" t="s">
        <v>2259</v>
      </c>
      <c r="BA94" s="598" t="s">
        <v>2251</v>
      </c>
      <c r="BB94" s="598" t="s">
        <v>2251</v>
      </c>
    </row>
    <row r="95" customFormat="false" ht="12.75" hidden="false" customHeight="false" outlineLevel="0" collapsed="false">
      <c r="B95" s="598" t="n">
        <v>14</v>
      </c>
      <c r="C95" s="598" t="s">
        <v>2251</v>
      </c>
      <c r="D95" s="598" t="s">
        <v>2259</v>
      </c>
      <c r="E95" s="598" t="s">
        <v>2259</v>
      </c>
      <c r="F95" s="598" t="s">
        <v>2259</v>
      </c>
      <c r="G95" s="598" t="s">
        <v>2262</v>
      </c>
      <c r="H95" s="598" t="s">
        <v>2262</v>
      </c>
      <c r="I95" s="598" t="s">
        <v>2276</v>
      </c>
      <c r="J95" s="598" t="s">
        <v>2249</v>
      </c>
      <c r="K95" s="598" t="s">
        <v>2269</v>
      </c>
      <c r="L95" s="598" t="s">
        <v>2277</v>
      </c>
      <c r="M95" s="598" t="s">
        <v>2251</v>
      </c>
      <c r="N95" s="598" t="s">
        <v>2266</v>
      </c>
      <c r="O95" s="598" t="s">
        <v>2270</v>
      </c>
      <c r="P95" s="598" t="s">
        <v>2262</v>
      </c>
      <c r="Q95" s="598" t="s">
        <v>2259</v>
      </c>
      <c r="R95" s="598" t="s">
        <v>2263</v>
      </c>
      <c r="S95" s="598" t="s">
        <v>2255</v>
      </c>
      <c r="T95" s="598" t="s">
        <v>2269</v>
      </c>
      <c r="U95" s="598" t="s">
        <v>2269</v>
      </c>
      <c r="V95" s="598" t="s">
        <v>2269</v>
      </c>
      <c r="W95" s="598" t="s">
        <v>2273</v>
      </c>
      <c r="X95" s="598" t="s">
        <v>2273</v>
      </c>
      <c r="Y95" s="598" t="s">
        <v>2250</v>
      </c>
      <c r="Z95" s="598" t="s">
        <v>2262</v>
      </c>
      <c r="AA95" s="598" t="s">
        <v>2270</v>
      </c>
      <c r="AB95" s="598" t="s">
        <v>2270</v>
      </c>
      <c r="AC95" s="598" t="s">
        <v>2270</v>
      </c>
      <c r="AD95" s="598" t="s">
        <v>2270</v>
      </c>
      <c r="AE95" s="598" t="s">
        <v>2270</v>
      </c>
      <c r="AF95" s="598" t="s">
        <v>2270</v>
      </c>
      <c r="AG95" s="598" t="s">
        <v>2249</v>
      </c>
      <c r="AH95" s="598" t="s">
        <v>2249</v>
      </c>
      <c r="AI95" s="598" t="s">
        <v>2249</v>
      </c>
      <c r="AJ95" s="598" t="s">
        <v>2244</v>
      </c>
      <c r="AK95" s="598" t="s">
        <v>2249</v>
      </c>
      <c r="AL95" s="598" t="s">
        <v>2249</v>
      </c>
      <c r="AM95" s="598" t="s">
        <v>2249</v>
      </c>
      <c r="AN95" s="598" t="s">
        <v>2266</v>
      </c>
      <c r="AO95" s="598" t="s">
        <v>2266</v>
      </c>
      <c r="AP95" s="598" t="s">
        <v>2266</v>
      </c>
      <c r="AQ95" s="598" t="s">
        <v>2266</v>
      </c>
      <c r="AR95" s="598" t="s">
        <v>2266</v>
      </c>
      <c r="AS95" s="598" t="s">
        <v>2266</v>
      </c>
      <c r="AT95" s="598" t="s">
        <v>2258</v>
      </c>
      <c r="AU95" s="598" t="s">
        <v>2278</v>
      </c>
      <c r="AV95" s="598" t="s">
        <v>2268</v>
      </c>
      <c r="AW95" s="598" t="s">
        <v>2279</v>
      </c>
      <c r="AX95" s="598" t="s">
        <v>2279</v>
      </c>
      <c r="AY95" s="598" t="s">
        <v>2261</v>
      </c>
      <c r="AZ95" s="598" t="s">
        <v>2255</v>
      </c>
      <c r="BA95" s="598" t="s">
        <v>2268</v>
      </c>
      <c r="BB95" s="598" t="s">
        <v>2268</v>
      </c>
    </row>
    <row r="96" customFormat="false" ht="12.75" hidden="false" customHeight="false" outlineLevel="0" collapsed="false">
      <c r="B96" s="598" t="n">
        <v>15</v>
      </c>
      <c r="C96" s="598" t="s">
        <v>2280</v>
      </c>
      <c r="D96" s="598" t="s">
        <v>2251</v>
      </c>
      <c r="E96" s="598" t="s">
        <v>2251</v>
      </c>
      <c r="F96" s="598" t="s">
        <v>2251</v>
      </c>
      <c r="G96" s="598" t="s">
        <v>2258</v>
      </c>
      <c r="H96" s="598" t="s">
        <v>2258</v>
      </c>
      <c r="I96" s="598" t="s">
        <v>2281</v>
      </c>
      <c r="J96" s="598" t="s">
        <v>2251</v>
      </c>
      <c r="K96" s="598" t="s">
        <v>2268</v>
      </c>
      <c r="L96" s="598" t="s">
        <v>2247</v>
      </c>
      <c r="M96" s="598" t="s">
        <v>2269</v>
      </c>
      <c r="N96" s="598" t="s">
        <v>2262</v>
      </c>
      <c r="O96" s="598" t="s">
        <v>2275</v>
      </c>
      <c r="P96" s="598" t="s">
        <v>2282</v>
      </c>
      <c r="Q96" s="598" t="s">
        <v>2269</v>
      </c>
      <c r="R96" s="598" t="s">
        <v>2273</v>
      </c>
      <c r="S96" s="598" t="s">
        <v>2269</v>
      </c>
      <c r="T96" s="598" t="s">
        <v>2268</v>
      </c>
      <c r="U96" s="598" t="s">
        <v>2268</v>
      </c>
      <c r="V96" s="598" t="s">
        <v>2268</v>
      </c>
      <c r="W96" s="598" t="s">
        <v>2270</v>
      </c>
      <c r="X96" s="598" t="s">
        <v>2270</v>
      </c>
      <c r="Y96" s="598" t="s">
        <v>2259</v>
      </c>
      <c r="Z96" s="598" t="s">
        <v>2258</v>
      </c>
      <c r="AA96" s="598" t="s">
        <v>2275</v>
      </c>
      <c r="AB96" s="598" t="s">
        <v>2275</v>
      </c>
      <c r="AC96" s="598" t="s">
        <v>2275</v>
      </c>
      <c r="AD96" s="598" t="s">
        <v>2275</v>
      </c>
      <c r="AE96" s="599" t="s">
        <v>2275</v>
      </c>
      <c r="AF96" s="599" t="s">
        <v>2275</v>
      </c>
      <c r="AG96" s="598" t="s">
        <v>2251</v>
      </c>
      <c r="AH96" s="598" t="s">
        <v>2251</v>
      </c>
      <c r="AI96" s="598" t="s">
        <v>2251</v>
      </c>
      <c r="AJ96" s="598" t="s">
        <v>2249</v>
      </c>
      <c r="AK96" s="598" t="s">
        <v>2251</v>
      </c>
      <c r="AL96" s="598" t="s">
        <v>2251</v>
      </c>
      <c r="AM96" s="598" t="s">
        <v>2251</v>
      </c>
      <c r="AN96" s="598" t="s">
        <v>2254</v>
      </c>
      <c r="AO96" s="598" t="s">
        <v>2254</v>
      </c>
      <c r="AP96" s="598" t="s">
        <v>2262</v>
      </c>
      <c r="AQ96" s="598" t="s">
        <v>2262</v>
      </c>
      <c r="AR96" s="598" t="s">
        <v>2262</v>
      </c>
      <c r="AS96" s="598" t="s">
        <v>2262</v>
      </c>
      <c r="AT96" s="598" t="s">
        <v>2270</v>
      </c>
      <c r="AU96" s="598" t="s">
        <v>2283</v>
      </c>
      <c r="AV96" s="598" t="s">
        <v>2266</v>
      </c>
      <c r="AW96" s="598" t="s">
        <v>2284</v>
      </c>
      <c r="AX96" s="598" t="s">
        <v>2284</v>
      </c>
      <c r="AY96" s="598" t="s">
        <v>2285</v>
      </c>
      <c r="AZ96" s="598" t="s">
        <v>2269</v>
      </c>
      <c r="BA96" s="598" t="s">
        <v>2286</v>
      </c>
      <c r="BB96" s="598" t="s">
        <v>2286</v>
      </c>
    </row>
    <row r="97" customFormat="false" ht="12.75" hidden="false" customHeight="false" outlineLevel="0" collapsed="false">
      <c r="B97" s="598" t="n">
        <v>16</v>
      </c>
      <c r="C97" s="636" t="s">
        <v>2261</v>
      </c>
      <c r="D97" s="598" t="s">
        <v>2280</v>
      </c>
      <c r="E97" s="598" t="s">
        <v>2280</v>
      </c>
      <c r="F97" s="598" t="s">
        <v>2280</v>
      </c>
      <c r="G97" s="598" t="s">
        <v>2273</v>
      </c>
      <c r="H97" s="598" t="s">
        <v>2274</v>
      </c>
      <c r="I97" s="598" t="s">
        <v>2282</v>
      </c>
      <c r="J97" s="598" t="s">
        <v>2266</v>
      </c>
      <c r="K97" s="598" t="s">
        <v>2285</v>
      </c>
      <c r="L97" s="673" t="s">
        <v>2253</v>
      </c>
      <c r="M97" s="598" t="s">
        <v>2258</v>
      </c>
      <c r="N97" s="598" t="s">
        <v>2287</v>
      </c>
      <c r="O97" s="598" t="s">
        <v>2288</v>
      </c>
      <c r="P97" s="598" t="s">
        <v>2289</v>
      </c>
      <c r="Q97" s="598" t="s">
        <v>2287</v>
      </c>
      <c r="R97" s="598" t="s">
        <v>2270</v>
      </c>
      <c r="S97" s="598" t="s">
        <v>2258</v>
      </c>
      <c r="T97" s="598" t="s">
        <v>2285</v>
      </c>
      <c r="U97" s="598" t="s">
        <v>2285</v>
      </c>
      <c r="V97" s="598" t="s">
        <v>2285</v>
      </c>
      <c r="W97" s="598" t="s">
        <v>2290</v>
      </c>
      <c r="X97" s="598" t="s">
        <v>2290</v>
      </c>
      <c r="Y97" s="598" t="s">
        <v>2269</v>
      </c>
      <c r="Z97" s="598" t="s">
        <v>2274</v>
      </c>
      <c r="AA97" s="598" t="s">
        <v>2291</v>
      </c>
      <c r="AB97" s="598" t="s">
        <v>2291</v>
      </c>
      <c r="AC97" s="598" t="s">
        <v>2291</v>
      </c>
      <c r="AD97" s="598" t="s">
        <v>2291</v>
      </c>
      <c r="AE97" s="598" t="s">
        <v>2279</v>
      </c>
      <c r="AF97" s="598" t="s">
        <v>2279</v>
      </c>
      <c r="AG97" s="598" t="s">
        <v>2266</v>
      </c>
      <c r="AH97" s="598" t="s">
        <v>2266</v>
      </c>
      <c r="AI97" s="598" t="s">
        <v>2266</v>
      </c>
      <c r="AJ97" s="598" t="s">
        <v>2251</v>
      </c>
      <c r="AK97" s="598" t="s">
        <v>2266</v>
      </c>
      <c r="AL97" s="598" t="s">
        <v>2266</v>
      </c>
      <c r="AM97" s="598" t="s">
        <v>2266</v>
      </c>
      <c r="AN97" s="598" t="s">
        <v>2292</v>
      </c>
      <c r="AO97" s="598" t="s">
        <v>2292</v>
      </c>
      <c r="AP97" s="598" t="s">
        <v>2258</v>
      </c>
      <c r="AQ97" s="598" t="s">
        <v>2258</v>
      </c>
      <c r="AR97" s="598" t="s">
        <v>2258</v>
      </c>
      <c r="AS97" s="598" t="s">
        <v>2258</v>
      </c>
      <c r="AT97" s="598" t="s">
        <v>2293</v>
      </c>
      <c r="AU97" s="598" t="s">
        <v>2287</v>
      </c>
      <c r="AV97" s="598" t="s">
        <v>2267</v>
      </c>
      <c r="AW97" s="598" t="s">
        <v>2294</v>
      </c>
      <c r="AX97" s="598" t="s">
        <v>2294</v>
      </c>
      <c r="AY97" s="598" t="s">
        <v>2258</v>
      </c>
      <c r="AZ97" s="598" t="s">
        <v>2266</v>
      </c>
      <c r="BA97" s="598" t="s">
        <v>2258</v>
      </c>
      <c r="BB97" s="598" t="s">
        <v>2258</v>
      </c>
    </row>
    <row r="98" customFormat="false" ht="12.75" hidden="false" customHeight="false" outlineLevel="0" collapsed="false">
      <c r="B98" s="598" t="n">
        <v>17</v>
      </c>
      <c r="C98" s="599" t="s">
        <v>2254</v>
      </c>
      <c r="D98" s="598" t="s">
        <v>2295</v>
      </c>
      <c r="E98" s="598" t="s">
        <v>2295</v>
      </c>
      <c r="F98" s="598" t="s">
        <v>2295</v>
      </c>
      <c r="G98" s="598" t="s">
        <v>2270</v>
      </c>
      <c r="H98" s="598" t="s">
        <v>2273</v>
      </c>
      <c r="I98" s="598" t="s">
        <v>2289</v>
      </c>
      <c r="J98" s="598" t="s">
        <v>2262</v>
      </c>
      <c r="K98" s="598" t="s">
        <v>2296</v>
      </c>
      <c r="L98" s="598" t="s">
        <v>2250</v>
      </c>
      <c r="M98" s="598" t="s">
        <v>2270</v>
      </c>
      <c r="N98" s="598" t="s">
        <v>2270</v>
      </c>
      <c r="O98" s="598" t="s">
        <v>2297</v>
      </c>
      <c r="P98" s="598" t="s">
        <v>2298</v>
      </c>
      <c r="Q98" s="598" t="s">
        <v>2270</v>
      </c>
      <c r="R98" s="598" t="s">
        <v>2275</v>
      </c>
      <c r="S98" s="598" t="s">
        <v>2273</v>
      </c>
      <c r="T98" s="598" t="s">
        <v>2258</v>
      </c>
      <c r="U98" s="598" t="s">
        <v>2258</v>
      </c>
      <c r="V98" s="598" t="s">
        <v>2258</v>
      </c>
      <c r="W98" s="598" t="s">
        <v>2299</v>
      </c>
      <c r="X98" s="598" t="s">
        <v>2299</v>
      </c>
      <c r="Y98" s="598" t="s">
        <v>2268</v>
      </c>
      <c r="Z98" s="598" t="s">
        <v>2278</v>
      </c>
      <c r="AA98" s="598" t="s">
        <v>2284</v>
      </c>
      <c r="AB98" s="598" t="s">
        <v>2300</v>
      </c>
      <c r="AC98" s="598" t="s">
        <v>2300</v>
      </c>
      <c r="AD98" s="598" t="s">
        <v>2300</v>
      </c>
      <c r="AE98" s="598" t="s">
        <v>2284</v>
      </c>
      <c r="AF98" s="598" t="s">
        <v>2284</v>
      </c>
      <c r="AG98" s="598" t="s">
        <v>2262</v>
      </c>
      <c r="AH98" s="598" t="s">
        <v>2262</v>
      </c>
      <c r="AI98" s="598" t="s">
        <v>2262</v>
      </c>
      <c r="AJ98" s="598" t="s">
        <v>2266</v>
      </c>
      <c r="AK98" s="598" t="s">
        <v>2262</v>
      </c>
      <c r="AL98" s="598" t="s">
        <v>2262</v>
      </c>
      <c r="AM98" s="598" t="s">
        <v>2262</v>
      </c>
      <c r="AN98" s="598" t="s">
        <v>2285</v>
      </c>
      <c r="AO98" s="598" t="s">
        <v>2285</v>
      </c>
      <c r="AP98" s="598" t="s">
        <v>2301</v>
      </c>
      <c r="AQ98" s="598" t="s">
        <v>2301</v>
      </c>
      <c r="AR98" s="598" t="s">
        <v>2301</v>
      </c>
      <c r="AS98" s="598" t="s">
        <v>2301</v>
      </c>
      <c r="AT98" s="598" t="s">
        <v>2275</v>
      </c>
      <c r="AU98" s="598" t="s">
        <v>2270</v>
      </c>
      <c r="AV98" s="598" t="s">
        <v>2292</v>
      </c>
      <c r="AW98" s="598" t="s">
        <v>2302</v>
      </c>
      <c r="AX98" s="598" t="s">
        <v>2302</v>
      </c>
      <c r="AY98" s="598" t="s">
        <v>2270</v>
      </c>
      <c r="AZ98" s="598" t="s">
        <v>2285</v>
      </c>
      <c r="BA98" s="598" t="s">
        <v>2270</v>
      </c>
      <c r="BB98" s="598" t="s">
        <v>2270</v>
      </c>
    </row>
    <row r="99" customFormat="false" ht="12.75" hidden="false" customHeight="false" outlineLevel="0" collapsed="false">
      <c r="B99" s="598" t="n">
        <v>18</v>
      </c>
      <c r="C99" s="598" t="s">
        <v>2262</v>
      </c>
      <c r="D99" s="598" t="s">
        <v>2303</v>
      </c>
      <c r="E99" s="598" t="s">
        <v>2303</v>
      </c>
      <c r="F99" s="598" t="s">
        <v>2303</v>
      </c>
      <c r="G99" s="598" t="s">
        <v>2275</v>
      </c>
      <c r="H99" s="598" t="s">
        <v>2270</v>
      </c>
      <c r="I99" s="598" t="s">
        <v>2298</v>
      </c>
      <c r="J99" s="598" t="s">
        <v>2258</v>
      </c>
      <c r="K99" s="598" t="s">
        <v>2289</v>
      </c>
      <c r="L99" s="598" t="s">
        <v>2269</v>
      </c>
      <c r="M99" s="598" t="s">
        <v>2275</v>
      </c>
      <c r="N99" s="598" t="s">
        <v>2304</v>
      </c>
      <c r="O99" s="598" t="s">
        <v>2279</v>
      </c>
      <c r="P99" s="598" t="s">
        <v>2270</v>
      </c>
      <c r="Q99" s="598" t="s">
        <v>2299</v>
      </c>
      <c r="R99" s="598" t="s">
        <v>2279</v>
      </c>
      <c r="S99" s="598" t="s">
        <v>2270</v>
      </c>
      <c r="T99" s="598" t="s">
        <v>2289</v>
      </c>
      <c r="U99" s="598" t="s">
        <v>2289</v>
      </c>
      <c r="V99" s="598" t="s">
        <v>2289</v>
      </c>
      <c r="W99" s="598" t="s">
        <v>2275</v>
      </c>
      <c r="X99" s="598" t="s">
        <v>2275</v>
      </c>
      <c r="Y99" s="673" t="s">
        <v>2287</v>
      </c>
      <c r="Z99" s="598" t="s">
        <v>2283</v>
      </c>
      <c r="AA99" s="598" t="s">
        <v>2294</v>
      </c>
      <c r="AB99" s="598" t="s">
        <v>2284</v>
      </c>
      <c r="AC99" s="598" t="s">
        <v>2284</v>
      </c>
      <c r="AD99" s="598" t="s">
        <v>2284</v>
      </c>
      <c r="AE99" s="598" t="s">
        <v>2294</v>
      </c>
      <c r="AF99" s="598" t="s">
        <v>2305</v>
      </c>
      <c r="AG99" s="598" t="s">
        <v>2258</v>
      </c>
      <c r="AH99" s="598" t="s">
        <v>2258</v>
      </c>
      <c r="AI99" s="598" t="s">
        <v>2258</v>
      </c>
      <c r="AJ99" s="598" t="s">
        <v>2262</v>
      </c>
      <c r="AK99" s="598" t="s">
        <v>2258</v>
      </c>
      <c r="AL99" s="598" t="s">
        <v>2258</v>
      </c>
      <c r="AM99" s="598" t="s">
        <v>2258</v>
      </c>
      <c r="AN99" s="598" t="s">
        <v>2262</v>
      </c>
      <c r="AO99" s="598" t="s">
        <v>2262</v>
      </c>
      <c r="AP99" s="598" t="s">
        <v>2270</v>
      </c>
      <c r="AQ99" s="598" t="s">
        <v>2270</v>
      </c>
      <c r="AR99" s="598" t="s">
        <v>2270</v>
      </c>
      <c r="AS99" s="598" t="s">
        <v>2270</v>
      </c>
      <c r="AT99" s="598" t="s">
        <v>2279</v>
      </c>
      <c r="AU99" s="598" t="s">
        <v>2306</v>
      </c>
      <c r="AV99" s="598" t="s">
        <v>2262</v>
      </c>
      <c r="AW99" s="599" t="s">
        <v>2307</v>
      </c>
      <c r="AX99" s="599" t="s">
        <v>2307</v>
      </c>
      <c r="AY99" s="598" t="s">
        <v>2308</v>
      </c>
      <c r="AZ99" s="598" t="s">
        <v>2292</v>
      </c>
      <c r="BA99" s="598" t="s">
        <v>2308</v>
      </c>
      <c r="BB99" s="598" t="s">
        <v>2308</v>
      </c>
    </row>
    <row r="100" customFormat="false" ht="12.75" hidden="false" customHeight="false" outlineLevel="0" collapsed="false">
      <c r="B100" s="598" t="n">
        <v>19</v>
      </c>
      <c r="C100" s="598" t="s">
        <v>2258</v>
      </c>
      <c r="D100" s="598" t="s">
        <v>2285</v>
      </c>
      <c r="E100" s="598" t="s">
        <v>2285</v>
      </c>
      <c r="F100" s="598" t="s">
        <v>2285</v>
      </c>
      <c r="G100" s="598" t="s">
        <v>2309</v>
      </c>
      <c r="H100" s="598" t="s">
        <v>2308</v>
      </c>
      <c r="I100" s="598" t="s">
        <v>2270</v>
      </c>
      <c r="J100" s="598" t="s">
        <v>2274</v>
      </c>
      <c r="K100" s="598" t="s">
        <v>2298</v>
      </c>
      <c r="L100" s="598" t="s">
        <v>2261</v>
      </c>
      <c r="M100" s="598" t="s">
        <v>2310</v>
      </c>
      <c r="N100" s="598" t="s">
        <v>2311</v>
      </c>
      <c r="O100" s="598" t="s">
        <v>2284</v>
      </c>
      <c r="P100" s="598" t="s">
        <v>2312</v>
      </c>
      <c r="Q100" s="598" t="s">
        <v>2293</v>
      </c>
      <c r="R100" s="598" t="s">
        <v>2300</v>
      </c>
      <c r="S100" s="598" t="s">
        <v>2293</v>
      </c>
      <c r="T100" s="598" t="s">
        <v>2298</v>
      </c>
      <c r="U100" s="598" t="s">
        <v>2298</v>
      </c>
      <c r="V100" s="598" t="s">
        <v>2298</v>
      </c>
      <c r="W100" s="598" t="s">
        <v>2291</v>
      </c>
      <c r="X100" s="598" t="s">
        <v>2291</v>
      </c>
      <c r="Y100" s="598" t="s">
        <v>2270</v>
      </c>
      <c r="Z100" s="598" t="s">
        <v>2301</v>
      </c>
      <c r="AA100" s="598" t="s">
        <v>2313</v>
      </c>
      <c r="AB100" s="598" t="s">
        <v>2294</v>
      </c>
      <c r="AC100" s="598" t="s">
        <v>2294</v>
      </c>
      <c r="AD100" s="598" t="s">
        <v>2294</v>
      </c>
      <c r="AE100" s="598" t="s">
        <v>2314</v>
      </c>
      <c r="AF100" s="598" t="s">
        <v>2294</v>
      </c>
      <c r="AG100" s="598" t="s">
        <v>2274</v>
      </c>
      <c r="AH100" s="598" t="s">
        <v>2274</v>
      </c>
      <c r="AI100" s="598" t="s">
        <v>2274</v>
      </c>
      <c r="AJ100" s="598" t="s">
        <v>2258</v>
      </c>
      <c r="AK100" s="598" t="s">
        <v>2274</v>
      </c>
      <c r="AL100" s="598" t="s">
        <v>2274</v>
      </c>
      <c r="AM100" s="598" t="s">
        <v>2274</v>
      </c>
      <c r="AN100" s="598" t="s">
        <v>2258</v>
      </c>
      <c r="AO100" s="598" t="s">
        <v>2258</v>
      </c>
      <c r="AP100" s="599" t="s">
        <v>2312</v>
      </c>
      <c r="AQ100" s="599" t="s">
        <v>2312</v>
      </c>
      <c r="AR100" s="599" t="s">
        <v>2312</v>
      </c>
      <c r="AS100" s="599" t="s">
        <v>2312</v>
      </c>
      <c r="AT100" s="598" t="s">
        <v>2300</v>
      </c>
      <c r="AU100" s="598" t="s">
        <v>2279</v>
      </c>
      <c r="AV100" s="598" t="s">
        <v>2258</v>
      </c>
      <c r="AW100" s="598" t="s">
        <v>2315</v>
      </c>
      <c r="AX100" s="598" t="s">
        <v>2315</v>
      </c>
      <c r="AY100" s="598" t="s">
        <v>2309</v>
      </c>
      <c r="AZ100" s="598" t="s">
        <v>2287</v>
      </c>
      <c r="BA100" s="598" t="s">
        <v>2316</v>
      </c>
      <c r="BB100" s="598" t="s">
        <v>2316</v>
      </c>
    </row>
    <row r="101" customFormat="false" ht="12.75" hidden="false" customHeight="false" outlineLevel="0" collapsed="false">
      <c r="B101" s="598" t="n">
        <v>20</v>
      </c>
      <c r="C101" s="598" t="s">
        <v>2273</v>
      </c>
      <c r="D101" s="598" t="s">
        <v>2286</v>
      </c>
      <c r="E101" s="598" t="s">
        <v>2286</v>
      </c>
      <c r="F101" s="598" t="s">
        <v>2286</v>
      </c>
      <c r="G101" s="598" t="s">
        <v>2310</v>
      </c>
      <c r="H101" s="598" t="s">
        <v>2275</v>
      </c>
      <c r="I101" s="598" t="s">
        <v>2275</v>
      </c>
      <c r="J101" s="598" t="s">
        <v>2273</v>
      </c>
      <c r="K101" s="598" t="s">
        <v>2273</v>
      </c>
      <c r="L101" s="598" t="s">
        <v>2267</v>
      </c>
      <c r="M101" s="598" t="s">
        <v>2279</v>
      </c>
      <c r="N101" s="598" t="s">
        <v>2317</v>
      </c>
      <c r="O101" s="599" t="s">
        <v>2318</v>
      </c>
      <c r="P101" s="598" t="s">
        <v>2279</v>
      </c>
      <c r="Q101" s="598" t="s">
        <v>2309</v>
      </c>
      <c r="R101" s="598" t="s">
        <v>2284</v>
      </c>
      <c r="S101" s="598" t="s">
        <v>2275</v>
      </c>
      <c r="T101" s="598" t="s">
        <v>2273</v>
      </c>
      <c r="U101" s="598" t="s">
        <v>2273</v>
      </c>
      <c r="V101" s="598" t="s">
        <v>2273</v>
      </c>
      <c r="W101" s="598" t="s">
        <v>2300</v>
      </c>
      <c r="X101" s="598" t="s">
        <v>2300</v>
      </c>
      <c r="Y101" s="598" t="s">
        <v>2299</v>
      </c>
      <c r="Z101" s="598" t="s">
        <v>2270</v>
      </c>
      <c r="AA101" s="598" t="s">
        <v>2314</v>
      </c>
      <c r="AB101" s="598" t="s">
        <v>2313</v>
      </c>
      <c r="AC101" s="598" t="s">
        <v>2313</v>
      </c>
      <c r="AD101" s="598" t="s">
        <v>2313</v>
      </c>
      <c r="AE101" s="598" t="s">
        <v>2302</v>
      </c>
      <c r="AF101" s="598" t="s">
        <v>2314</v>
      </c>
      <c r="AG101" s="598" t="s">
        <v>2273</v>
      </c>
      <c r="AH101" s="598" t="s">
        <v>2273</v>
      </c>
      <c r="AI101" s="598" t="s">
        <v>2273</v>
      </c>
      <c r="AJ101" s="598" t="s">
        <v>2274</v>
      </c>
      <c r="AK101" s="598" t="s">
        <v>2273</v>
      </c>
      <c r="AL101" s="598" t="s">
        <v>2273</v>
      </c>
      <c r="AM101" s="598" t="s">
        <v>2273</v>
      </c>
      <c r="AN101" s="598" t="s">
        <v>2274</v>
      </c>
      <c r="AO101" s="598" t="s">
        <v>2274</v>
      </c>
      <c r="AP101" s="598" t="s">
        <v>2279</v>
      </c>
      <c r="AQ101" s="598" t="s">
        <v>2279</v>
      </c>
      <c r="AR101" s="598" t="s">
        <v>2279</v>
      </c>
      <c r="AS101" s="598" t="s">
        <v>2279</v>
      </c>
      <c r="AT101" s="598" t="s">
        <v>2284</v>
      </c>
      <c r="AU101" s="598" t="s">
        <v>2300</v>
      </c>
      <c r="AV101" s="598" t="s">
        <v>2270</v>
      </c>
      <c r="AW101" s="598" t="s">
        <v>2319</v>
      </c>
      <c r="AX101" s="598" t="s">
        <v>2320</v>
      </c>
      <c r="AY101" s="598" t="s">
        <v>2310</v>
      </c>
      <c r="AZ101" s="598" t="s">
        <v>2270</v>
      </c>
      <c r="BA101" s="598" t="s">
        <v>2309</v>
      </c>
      <c r="BB101" s="598" t="s">
        <v>2309</v>
      </c>
    </row>
    <row r="102" customFormat="false" ht="12.75" hidden="false" customHeight="false" outlineLevel="0" collapsed="false">
      <c r="A102" s="210"/>
      <c r="B102" s="598" t="n">
        <v>21</v>
      </c>
      <c r="C102" s="598" t="s">
        <v>2270</v>
      </c>
      <c r="D102" s="598" t="s">
        <v>2258</v>
      </c>
      <c r="E102" s="598" t="s">
        <v>2258</v>
      </c>
      <c r="F102" s="598" t="s">
        <v>2258</v>
      </c>
      <c r="G102" s="598" t="s">
        <v>2318</v>
      </c>
      <c r="H102" s="598" t="s">
        <v>2321</v>
      </c>
      <c r="I102" s="598" t="s">
        <v>2309</v>
      </c>
      <c r="J102" s="598" t="s">
        <v>2270</v>
      </c>
      <c r="K102" s="598" t="s">
        <v>2270</v>
      </c>
      <c r="L102" s="598" t="s">
        <v>2286</v>
      </c>
      <c r="M102" s="598" t="s">
        <v>2300</v>
      </c>
      <c r="N102" s="598" t="s">
        <v>2322</v>
      </c>
      <c r="O102" s="599" t="s">
        <v>2294</v>
      </c>
      <c r="P102" s="599" t="s">
        <v>2284</v>
      </c>
      <c r="Q102" s="598" t="s">
        <v>2323</v>
      </c>
      <c r="R102" s="598" t="s">
        <v>2305</v>
      </c>
      <c r="S102" s="598" t="s">
        <v>2309</v>
      </c>
      <c r="T102" s="598" t="s">
        <v>2270</v>
      </c>
      <c r="U102" s="598" t="s">
        <v>2270</v>
      </c>
      <c r="V102" s="598" t="s">
        <v>2270</v>
      </c>
      <c r="W102" s="598" t="s">
        <v>2284</v>
      </c>
      <c r="X102" s="598" t="s">
        <v>2284</v>
      </c>
      <c r="Y102" s="598" t="s">
        <v>2306</v>
      </c>
      <c r="Z102" s="598" t="s">
        <v>2312</v>
      </c>
      <c r="AA102" s="598" t="s">
        <v>2302</v>
      </c>
      <c r="AB102" s="598" t="s">
        <v>2314</v>
      </c>
      <c r="AC102" s="598" t="s">
        <v>2314</v>
      </c>
      <c r="AD102" s="598" t="s">
        <v>2314</v>
      </c>
      <c r="AE102" s="598" t="s">
        <v>2315</v>
      </c>
      <c r="AF102" s="598" t="s">
        <v>2302</v>
      </c>
      <c r="AG102" s="598" t="s">
        <v>2270</v>
      </c>
      <c r="AH102" s="598" t="s">
        <v>2270</v>
      </c>
      <c r="AI102" s="598" t="s">
        <v>2270</v>
      </c>
      <c r="AJ102" s="598" t="s">
        <v>2273</v>
      </c>
      <c r="AK102" s="598" t="s">
        <v>2270</v>
      </c>
      <c r="AL102" s="598" t="s">
        <v>2270</v>
      </c>
      <c r="AM102" s="598" t="s">
        <v>2270</v>
      </c>
      <c r="AN102" s="598" t="s">
        <v>2270</v>
      </c>
      <c r="AO102" s="598" t="s">
        <v>2270</v>
      </c>
      <c r="AP102" s="598" t="s">
        <v>2284</v>
      </c>
      <c r="AQ102" s="598" t="s">
        <v>2284</v>
      </c>
      <c r="AR102" s="598" t="s">
        <v>2284</v>
      </c>
      <c r="AS102" s="598" t="s">
        <v>2284</v>
      </c>
      <c r="AT102" s="598" t="s">
        <v>2294</v>
      </c>
      <c r="AU102" s="598" t="s">
        <v>2284</v>
      </c>
      <c r="AV102" s="598" t="s">
        <v>2312</v>
      </c>
      <c r="AW102" s="598" t="s">
        <v>2320</v>
      </c>
      <c r="AX102" s="598" t="s">
        <v>2324</v>
      </c>
      <c r="AY102" s="598" t="s">
        <v>2279</v>
      </c>
      <c r="AZ102" s="673" t="s">
        <v>2304</v>
      </c>
      <c r="BA102" s="598" t="s">
        <v>2310</v>
      </c>
      <c r="BB102" s="598" t="s">
        <v>2310</v>
      </c>
    </row>
    <row r="103" customFormat="false" ht="12.75" hidden="false" customHeight="false" outlineLevel="0" collapsed="false">
      <c r="A103" s="210"/>
      <c r="B103" s="598" t="n">
        <v>22</v>
      </c>
      <c r="C103" s="599" t="s">
        <v>2290</v>
      </c>
      <c r="D103" s="598" t="s">
        <v>2325</v>
      </c>
      <c r="E103" s="598" t="s">
        <v>2325</v>
      </c>
      <c r="F103" s="598" t="s">
        <v>2325</v>
      </c>
      <c r="G103" s="598" t="s">
        <v>2319</v>
      </c>
      <c r="H103" s="598" t="s">
        <v>2284</v>
      </c>
      <c r="I103" s="598" t="s">
        <v>2310</v>
      </c>
      <c r="J103" s="598" t="s">
        <v>2279</v>
      </c>
      <c r="K103" s="598" t="s">
        <v>2309</v>
      </c>
      <c r="L103" s="598" t="s">
        <v>2276</v>
      </c>
      <c r="M103" s="598" t="s">
        <v>2284</v>
      </c>
      <c r="N103" s="599" t="s">
        <v>2326</v>
      </c>
      <c r="O103" s="598" t="s">
        <v>2327</v>
      </c>
      <c r="P103" s="598" t="s">
        <v>2323</v>
      </c>
      <c r="Q103" s="599" t="s">
        <v>2326</v>
      </c>
      <c r="R103" s="598" t="s">
        <v>2294</v>
      </c>
      <c r="S103" s="598" t="s">
        <v>2310</v>
      </c>
      <c r="T103" s="598" t="s">
        <v>2309</v>
      </c>
      <c r="U103" s="598" t="s">
        <v>2309</v>
      </c>
      <c r="V103" s="598" t="s">
        <v>2309</v>
      </c>
      <c r="W103" s="598" t="s">
        <v>2305</v>
      </c>
      <c r="X103" s="598" t="s">
        <v>2305</v>
      </c>
      <c r="Y103" s="598" t="s">
        <v>2309</v>
      </c>
      <c r="Z103" s="598" t="s">
        <v>2284</v>
      </c>
      <c r="AA103" s="598" t="s">
        <v>2315</v>
      </c>
      <c r="AB103" s="598" t="s">
        <v>2302</v>
      </c>
      <c r="AC103" s="598" t="s">
        <v>2302</v>
      </c>
      <c r="AD103" s="598" t="s">
        <v>2302</v>
      </c>
      <c r="AE103" s="598" t="s">
        <v>2324</v>
      </c>
      <c r="AF103" s="598" t="s">
        <v>2315</v>
      </c>
      <c r="AG103" s="598" t="s">
        <v>2328</v>
      </c>
      <c r="AH103" s="598" t="s">
        <v>2328</v>
      </c>
      <c r="AI103" s="598" t="s">
        <v>2279</v>
      </c>
      <c r="AJ103" s="598" t="s">
        <v>2270</v>
      </c>
      <c r="AK103" s="598" t="s">
        <v>2328</v>
      </c>
      <c r="AL103" s="598" t="s">
        <v>2328</v>
      </c>
      <c r="AM103" s="598" t="s">
        <v>2328</v>
      </c>
      <c r="AN103" s="598" t="s">
        <v>2312</v>
      </c>
      <c r="AO103" s="598" t="s">
        <v>2312</v>
      </c>
      <c r="AP103" s="598" t="s">
        <v>2329</v>
      </c>
      <c r="AQ103" s="598" t="s">
        <v>2329</v>
      </c>
      <c r="AR103" s="598" t="s">
        <v>2329</v>
      </c>
      <c r="AS103" s="598" t="s">
        <v>2329</v>
      </c>
      <c r="AT103" s="598" t="s">
        <v>2314</v>
      </c>
      <c r="AU103" s="598" t="s">
        <v>2330</v>
      </c>
      <c r="AV103" s="599" t="s">
        <v>2284</v>
      </c>
      <c r="AW103" s="598" t="s">
        <v>2324</v>
      </c>
      <c r="AX103" s="598" t="s">
        <v>2331</v>
      </c>
      <c r="AY103" s="598" t="s">
        <v>2284</v>
      </c>
      <c r="AZ103" s="598" t="s">
        <v>2322</v>
      </c>
      <c r="BA103" s="598" t="s">
        <v>2279</v>
      </c>
      <c r="BB103" s="598" t="s">
        <v>2279</v>
      </c>
    </row>
    <row r="104" customFormat="false" ht="12.75" hidden="false" customHeight="false" outlineLevel="0" collapsed="false">
      <c r="A104" s="210"/>
      <c r="B104" s="598" t="n">
        <v>23</v>
      </c>
      <c r="C104" s="599" t="s">
        <v>2299</v>
      </c>
      <c r="D104" s="598" t="s">
        <v>2273</v>
      </c>
      <c r="E104" s="598" t="s">
        <v>2273</v>
      </c>
      <c r="F104" s="598" t="s">
        <v>2273</v>
      </c>
      <c r="G104" s="598" t="s">
        <v>2294</v>
      </c>
      <c r="H104" s="598" t="s">
        <v>2329</v>
      </c>
      <c r="I104" s="598" t="s">
        <v>2284</v>
      </c>
      <c r="J104" s="598" t="s">
        <v>2328</v>
      </c>
      <c r="K104" s="598" t="s">
        <v>2310</v>
      </c>
      <c r="L104" s="598" t="s">
        <v>2287</v>
      </c>
      <c r="M104" s="598" t="s">
        <v>2326</v>
      </c>
      <c r="N104" s="599" t="s">
        <v>2332</v>
      </c>
      <c r="O104" s="598" t="s">
        <v>2302</v>
      </c>
      <c r="P104" s="598" t="s">
        <v>2322</v>
      </c>
      <c r="Q104" s="598" t="s">
        <v>2333</v>
      </c>
      <c r="R104" s="598" t="s">
        <v>2314</v>
      </c>
      <c r="S104" s="598" t="s">
        <v>2279</v>
      </c>
      <c r="T104" s="598" t="s">
        <v>2310</v>
      </c>
      <c r="U104" s="598" t="s">
        <v>2310</v>
      </c>
      <c r="V104" s="598" t="s">
        <v>2310</v>
      </c>
      <c r="W104" s="598" t="s">
        <v>2294</v>
      </c>
      <c r="X104" s="598" t="s">
        <v>2319</v>
      </c>
      <c r="Y104" s="598" t="s">
        <v>2310</v>
      </c>
      <c r="Z104" s="598" t="s">
        <v>2329</v>
      </c>
      <c r="AA104" s="598" t="s">
        <v>2320</v>
      </c>
      <c r="AB104" s="598" t="s">
        <v>2315</v>
      </c>
      <c r="AC104" s="598" t="s">
        <v>2315</v>
      </c>
      <c r="AD104" s="598" t="s">
        <v>2315</v>
      </c>
      <c r="AE104" s="598" t="s">
        <v>2334</v>
      </c>
      <c r="AF104" s="598" t="s">
        <v>2324</v>
      </c>
      <c r="AG104" s="598" t="s">
        <v>2279</v>
      </c>
      <c r="AH104" s="598" t="s">
        <v>2279</v>
      </c>
      <c r="AI104" s="598" t="s">
        <v>2284</v>
      </c>
      <c r="AJ104" s="598" t="s">
        <v>2328</v>
      </c>
      <c r="AK104" s="598" t="s">
        <v>2279</v>
      </c>
      <c r="AL104" s="598" t="s">
        <v>2279</v>
      </c>
      <c r="AM104" s="598" t="s">
        <v>2279</v>
      </c>
      <c r="AN104" s="599" t="s">
        <v>2309</v>
      </c>
      <c r="AO104" s="599" t="s">
        <v>2309</v>
      </c>
      <c r="AP104" s="598" t="s">
        <v>2335</v>
      </c>
      <c r="AQ104" s="598" t="s">
        <v>2335</v>
      </c>
      <c r="AR104" s="598" t="s">
        <v>2335</v>
      </c>
      <c r="AS104" s="598" t="s">
        <v>2335</v>
      </c>
      <c r="AT104" s="598" t="s">
        <v>2302</v>
      </c>
      <c r="AU104" s="598" t="s">
        <v>2302</v>
      </c>
      <c r="AV104" s="598" t="s">
        <v>2329</v>
      </c>
      <c r="AW104" s="598" t="s">
        <v>2331</v>
      </c>
      <c r="AX104" s="598" t="s">
        <v>2336</v>
      </c>
      <c r="AY104" s="598" t="s">
        <v>2323</v>
      </c>
      <c r="AZ104" s="598" t="s">
        <v>2318</v>
      </c>
      <c r="BA104" s="599" t="s">
        <v>2284</v>
      </c>
      <c r="BB104" s="599" t="s">
        <v>2284</v>
      </c>
    </row>
    <row r="105" customFormat="false" ht="12.75" hidden="false" customHeight="false" outlineLevel="0" collapsed="false">
      <c r="A105" s="210"/>
      <c r="B105" s="598" t="n">
        <v>24</v>
      </c>
      <c r="C105" s="598" t="s">
        <v>2275</v>
      </c>
      <c r="D105" s="598" t="s">
        <v>2270</v>
      </c>
      <c r="E105" s="598" t="s">
        <v>2270</v>
      </c>
      <c r="F105" s="598" t="s">
        <v>2270</v>
      </c>
      <c r="G105" s="598" t="s">
        <v>2314</v>
      </c>
      <c r="H105" s="598" t="s">
        <v>2294</v>
      </c>
      <c r="I105" s="598" t="s">
        <v>2305</v>
      </c>
      <c r="J105" s="598" t="s">
        <v>2284</v>
      </c>
      <c r="K105" s="599" t="s">
        <v>2284</v>
      </c>
      <c r="L105" s="598" t="s">
        <v>2270</v>
      </c>
      <c r="M105" s="598" t="s">
        <v>2318</v>
      </c>
      <c r="N105" s="598" t="s">
        <v>2337</v>
      </c>
      <c r="O105" s="598" t="s">
        <v>2315</v>
      </c>
      <c r="P105" s="598" t="s">
        <v>2318</v>
      </c>
      <c r="Q105" s="598" t="s">
        <v>2338</v>
      </c>
      <c r="R105" s="598" t="s">
        <v>2302</v>
      </c>
      <c r="S105" s="598" t="s">
        <v>2326</v>
      </c>
      <c r="T105" s="599" t="s">
        <v>2284</v>
      </c>
      <c r="U105" s="599" t="s">
        <v>2284</v>
      </c>
      <c r="V105" s="599" t="s">
        <v>2284</v>
      </c>
      <c r="W105" s="598" t="s">
        <v>2313</v>
      </c>
      <c r="X105" s="598" t="s">
        <v>2294</v>
      </c>
      <c r="Y105" s="598" t="s">
        <v>2322</v>
      </c>
      <c r="Z105" s="598" t="s">
        <v>2335</v>
      </c>
      <c r="AA105" s="598" t="s">
        <v>2324</v>
      </c>
      <c r="AB105" s="598" t="s">
        <v>2320</v>
      </c>
      <c r="AC105" s="598" t="s">
        <v>2320</v>
      </c>
      <c r="AD105" s="598" t="s">
        <v>2320</v>
      </c>
      <c r="AE105" s="598" t="s">
        <v>2336</v>
      </c>
      <c r="AF105" s="598" t="s">
        <v>2334</v>
      </c>
      <c r="AG105" s="598" t="s">
        <v>2284</v>
      </c>
      <c r="AH105" s="598" t="s">
        <v>2284</v>
      </c>
      <c r="AI105" s="598" t="s">
        <v>2329</v>
      </c>
      <c r="AJ105" s="598" t="s">
        <v>2279</v>
      </c>
      <c r="AK105" s="598" t="s">
        <v>2284</v>
      </c>
      <c r="AL105" s="598" t="s">
        <v>2284</v>
      </c>
      <c r="AM105" s="598" t="s">
        <v>2284</v>
      </c>
      <c r="AN105" s="598" t="s">
        <v>2322</v>
      </c>
      <c r="AO105" s="598" t="s">
        <v>2322</v>
      </c>
      <c r="AP105" s="598" t="s">
        <v>2322</v>
      </c>
      <c r="AQ105" s="598" t="s">
        <v>2322</v>
      </c>
      <c r="AR105" s="598" t="s">
        <v>2322</v>
      </c>
      <c r="AS105" s="598" t="s">
        <v>2322</v>
      </c>
      <c r="AT105" s="598" t="s">
        <v>2339</v>
      </c>
      <c r="AU105" s="599" t="s">
        <v>2339</v>
      </c>
      <c r="AV105" s="598" t="s">
        <v>2322</v>
      </c>
      <c r="AW105" s="598" t="s">
        <v>2336</v>
      </c>
      <c r="AX105" s="599" t="s">
        <v>2207</v>
      </c>
      <c r="AY105" s="598" t="s">
        <v>2302</v>
      </c>
      <c r="AZ105" s="598" t="s">
        <v>2340</v>
      </c>
      <c r="BA105" s="598" t="s">
        <v>2318</v>
      </c>
      <c r="BB105" s="598" t="s">
        <v>2318</v>
      </c>
    </row>
    <row r="106" customFormat="false" ht="12.75" hidden="false" customHeight="false" outlineLevel="0" collapsed="false">
      <c r="B106" s="598" t="n">
        <v>25</v>
      </c>
      <c r="C106" s="599" t="s">
        <v>2291</v>
      </c>
      <c r="D106" s="598" t="s">
        <v>2308</v>
      </c>
      <c r="E106" s="598" t="s">
        <v>2308</v>
      </c>
      <c r="F106" s="598" t="s">
        <v>2308</v>
      </c>
      <c r="G106" s="598" t="s">
        <v>2341</v>
      </c>
      <c r="H106" s="598" t="s">
        <v>2314</v>
      </c>
      <c r="I106" s="598" t="s">
        <v>2319</v>
      </c>
      <c r="J106" s="598" t="s">
        <v>2329</v>
      </c>
      <c r="K106" s="598" t="s">
        <v>2322</v>
      </c>
      <c r="L106" s="599" t="s">
        <v>2290</v>
      </c>
      <c r="M106" s="598" t="s">
        <v>2342</v>
      </c>
      <c r="N106" s="598" t="s">
        <v>2343</v>
      </c>
      <c r="O106" s="598" t="s">
        <v>2320</v>
      </c>
      <c r="P106" s="598" t="s">
        <v>2319</v>
      </c>
      <c r="Q106" s="598" t="s">
        <v>2344</v>
      </c>
      <c r="R106" s="598" t="s">
        <v>2339</v>
      </c>
      <c r="S106" s="598" t="s">
        <v>2319</v>
      </c>
      <c r="T106" s="598" t="s">
        <v>2322</v>
      </c>
      <c r="U106" s="598" t="s">
        <v>2322</v>
      </c>
      <c r="V106" s="598" t="s">
        <v>2322</v>
      </c>
      <c r="W106" s="598" t="s">
        <v>2314</v>
      </c>
      <c r="X106" s="598" t="s">
        <v>2313</v>
      </c>
      <c r="Y106" s="598" t="s">
        <v>2326</v>
      </c>
      <c r="Z106" s="598" t="s">
        <v>2322</v>
      </c>
      <c r="AA106" s="598" t="s">
        <v>2334</v>
      </c>
      <c r="AB106" s="598" t="s">
        <v>2324</v>
      </c>
      <c r="AC106" s="598" t="s">
        <v>2324</v>
      </c>
      <c r="AD106" s="598" t="s">
        <v>2324</v>
      </c>
      <c r="AE106" s="599" t="s">
        <v>2207</v>
      </c>
      <c r="AF106" s="598" t="s">
        <v>2336</v>
      </c>
      <c r="AG106" s="598" t="s">
        <v>2329</v>
      </c>
      <c r="AH106" s="598" t="s">
        <v>2329</v>
      </c>
      <c r="AI106" s="598" t="s">
        <v>2322</v>
      </c>
      <c r="AJ106" s="598" t="s">
        <v>2284</v>
      </c>
      <c r="AK106" s="598" t="s">
        <v>2329</v>
      </c>
      <c r="AL106" s="598" t="s">
        <v>2329</v>
      </c>
      <c r="AM106" s="598" t="s">
        <v>2329</v>
      </c>
      <c r="AN106" s="598" t="s">
        <v>2326</v>
      </c>
      <c r="AO106" s="598" t="s">
        <v>2326</v>
      </c>
      <c r="AP106" s="598" t="s">
        <v>2318</v>
      </c>
      <c r="AQ106" s="598" t="s">
        <v>2318</v>
      </c>
      <c r="AR106" s="598" t="s">
        <v>2318</v>
      </c>
      <c r="AS106" s="598" t="s">
        <v>2318</v>
      </c>
      <c r="AT106" s="598" t="s">
        <v>2315</v>
      </c>
      <c r="AU106" s="598" t="s">
        <v>2315</v>
      </c>
      <c r="AV106" s="598" t="s">
        <v>2332</v>
      </c>
      <c r="AW106" s="599" t="s">
        <v>2207</v>
      </c>
      <c r="AX106" s="598" t="s">
        <v>2345</v>
      </c>
      <c r="AY106" s="598" t="s">
        <v>2339</v>
      </c>
      <c r="AZ106" s="598" t="s">
        <v>2330</v>
      </c>
      <c r="BA106" s="598" t="s">
        <v>2319</v>
      </c>
      <c r="BB106" s="598" t="s">
        <v>2319</v>
      </c>
    </row>
    <row r="107" customFormat="false" ht="12.75" hidden="false" customHeight="false" outlineLevel="0" collapsed="false">
      <c r="B107" s="598" t="n">
        <v>26</v>
      </c>
      <c r="C107" s="598" t="s">
        <v>2284</v>
      </c>
      <c r="D107" s="598" t="s">
        <v>2309</v>
      </c>
      <c r="E107" s="598" t="s">
        <v>2309</v>
      </c>
      <c r="F107" s="598" t="s">
        <v>2309</v>
      </c>
      <c r="G107" s="598" t="s">
        <v>2331</v>
      </c>
      <c r="H107" s="598" t="s">
        <v>2302</v>
      </c>
      <c r="I107" s="598" t="s">
        <v>2294</v>
      </c>
      <c r="J107" s="598" t="s">
        <v>2322</v>
      </c>
      <c r="K107" s="598" t="s">
        <v>2326</v>
      </c>
      <c r="L107" s="673" t="s">
        <v>2299</v>
      </c>
      <c r="M107" s="598" t="s">
        <v>2294</v>
      </c>
      <c r="N107" s="598" t="s">
        <v>2320</v>
      </c>
      <c r="O107" s="598" t="s">
        <v>2331</v>
      </c>
      <c r="P107" s="598" t="s">
        <v>2332</v>
      </c>
      <c r="Q107" s="598" t="s">
        <v>2331</v>
      </c>
      <c r="R107" s="598" t="s">
        <v>2315</v>
      </c>
      <c r="S107" s="598" t="s">
        <v>2294</v>
      </c>
      <c r="T107" s="598" t="s">
        <v>2326</v>
      </c>
      <c r="U107" s="598" t="s">
        <v>2326</v>
      </c>
      <c r="V107" s="598" t="s">
        <v>2326</v>
      </c>
      <c r="W107" s="599" t="s">
        <v>2302</v>
      </c>
      <c r="X107" s="598" t="s">
        <v>2314</v>
      </c>
      <c r="Y107" s="598" t="s">
        <v>2333</v>
      </c>
      <c r="Z107" s="598" t="s">
        <v>2332</v>
      </c>
      <c r="AA107" s="598" t="s">
        <v>2336</v>
      </c>
      <c r="AB107" s="598" t="s">
        <v>2334</v>
      </c>
      <c r="AC107" s="598" t="s">
        <v>2334</v>
      </c>
      <c r="AD107" s="598" t="s">
        <v>2334</v>
      </c>
      <c r="AE107" s="598" t="s">
        <v>2346</v>
      </c>
      <c r="AF107" s="599" t="s">
        <v>2207</v>
      </c>
      <c r="AG107" s="598" t="s">
        <v>2322</v>
      </c>
      <c r="AH107" s="598" t="s">
        <v>2322</v>
      </c>
      <c r="AI107" s="598" t="s">
        <v>2318</v>
      </c>
      <c r="AJ107" s="598" t="s">
        <v>2329</v>
      </c>
      <c r="AK107" s="598" t="s">
        <v>2322</v>
      </c>
      <c r="AL107" s="598" t="s">
        <v>2322</v>
      </c>
      <c r="AM107" s="598" t="s">
        <v>2322</v>
      </c>
      <c r="AN107" s="598" t="s">
        <v>2318</v>
      </c>
      <c r="AO107" s="598" t="s">
        <v>2318</v>
      </c>
      <c r="AP107" s="598" t="s">
        <v>2332</v>
      </c>
      <c r="AQ107" s="598" t="s">
        <v>2332</v>
      </c>
      <c r="AR107" s="598" t="s">
        <v>2332</v>
      </c>
      <c r="AS107" s="598" t="s">
        <v>2332</v>
      </c>
      <c r="AT107" s="598" t="s">
        <v>2324</v>
      </c>
      <c r="AU107" s="598" t="s">
        <v>2320</v>
      </c>
      <c r="AV107" s="598" t="s">
        <v>2340</v>
      </c>
      <c r="AW107" s="598" t="s">
        <v>2345</v>
      </c>
      <c r="AX107" s="598" t="s">
        <v>2346</v>
      </c>
      <c r="AY107" s="598" t="s">
        <v>2315</v>
      </c>
      <c r="AZ107" s="598" t="s">
        <v>2344</v>
      </c>
      <c r="BA107" s="598" t="s">
        <v>2302</v>
      </c>
      <c r="BB107" s="598" t="s">
        <v>2302</v>
      </c>
    </row>
    <row r="108" customFormat="false" ht="12.75" hidden="false" customHeight="false" outlineLevel="0" collapsed="false">
      <c r="B108" s="598" t="n">
        <v>27</v>
      </c>
      <c r="C108" s="598" t="s">
        <v>2305</v>
      </c>
      <c r="D108" s="598" t="s">
        <v>2310</v>
      </c>
      <c r="E108" s="598" t="s">
        <v>2310</v>
      </c>
      <c r="F108" s="598" t="s">
        <v>2310</v>
      </c>
      <c r="G108" s="598" t="s">
        <v>2347</v>
      </c>
      <c r="H108" s="598" t="s">
        <v>2339</v>
      </c>
      <c r="I108" s="598" t="s">
        <v>2348</v>
      </c>
      <c r="J108" s="598" t="s">
        <v>2318</v>
      </c>
      <c r="K108" s="598" t="s">
        <v>2318</v>
      </c>
      <c r="L108" s="598" t="s">
        <v>2306</v>
      </c>
      <c r="M108" s="598" t="s">
        <v>2314</v>
      </c>
      <c r="N108" s="598" t="s">
        <v>2349</v>
      </c>
      <c r="O108" s="598" t="s">
        <v>2336</v>
      </c>
      <c r="P108" s="598" t="s">
        <v>2348</v>
      </c>
      <c r="Q108" s="598" t="s">
        <v>2349</v>
      </c>
      <c r="R108" s="598" t="s">
        <v>2320</v>
      </c>
      <c r="S108" s="599" t="s">
        <v>2314</v>
      </c>
      <c r="T108" s="598" t="s">
        <v>2318</v>
      </c>
      <c r="U108" s="598" t="s">
        <v>2318</v>
      </c>
      <c r="V108" s="598" t="s">
        <v>2318</v>
      </c>
      <c r="W108" s="598" t="s">
        <v>2339</v>
      </c>
      <c r="X108" s="599" t="s">
        <v>2302</v>
      </c>
      <c r="Y108" s="598" t="s">
        <v>2330</v>
      </c>
      <c r="Z108" s="598" t="s">
        <v>2340</v>
      </c>
      <c r="AA108" s="599" t="s">
        <v>2207</v>
      </c>
      <c r="AB108" s="598" t="s">
        <v>2336</v>
      </c>
      <c r="AC108" s="598" t="s">
        <v>2336</v>
      </c>
      <c r="AD108" s="598" t="s">
        <v>2336</v>
      </c>
      <c r="AE108" s="598"/>
      <c r="AF108" s="598" t="s">
        <v>2346</v>
      </c>
      <c r="AG108" s="598" t="s">
        <v>2318</v>
      </c>
      <c r="AH108" s="598" t="s">
        <v>2318</v>
      </c>
      <c r="AI108" s="598" t="s">
        <v>2350</v>
      </c>
      <c r="AJ108" s="598" t="s">
        <v>2322</v>
      </c>
      <c r="AK108" s="598" t="s">
        <v>2318</v>
      </c>
      <c r="AL108" s="598" t="s">
        <v>2318</v>
      </c>
      <c r="AM108" s="598" t="s">
        <v>2318</v>
      </c>
      <c r="AN108" s="598" t="s">
        <v>2319</v>
      </c>
      <c r="AO108" s="598" t="s">
        <v>2319</v>
      </c>
      <c r="AP108" s="598" t="s">
        <v>2337</v>
      </c>
      <c r="AQ108" s="598" t="s">
        <v>2337</v>
      </c>
      <c r="AR108" s="598" t="s">
        <v>2337</v>
      </c>
      <c r="AS108" s="598" t="s">
        <v>2337</v>
      </c>
      <c r="AT108" s="598" t="s">
        <v>2334</v>
      </c>
      <c r="AU108" s="598" t="s">
        <v>2349</v>
      </c>
      <c r="AV108" s="598" t="s">
        <v>2337</v>
      </c>
      <c r="AW108" s="598" t="s">
        <v>2346</v>
      </c>
      <c r="AX108" s="598" t="s">
        <v>2351</v>
      </c>
      <c r="AY108" s="599" t="s">
        <v>2341</v>
      </c>
      <c r="AZ108" s="598" t="s">
        <v>2352</v>
      </c>
      <c r="BA108" s="598" t="s">
        <v>2339</v>
      </c>
      <c r="BB108" s="598" t="s">
        <v>2339</v>
      </c>
    </row>
    <row r="109" customFormat="false" ht="12.75" hidden="false" customHeight="false" outlineLevel="0" collapsed="false">
      <c r="B109" s="598" t="n">
        <v>28</v>
      </c>
      <c r="C109" s="598" t="s">
        <v>2294</v>
      </c>
      <c r="D109" s="599" t="s">
        <v>2291</v>
      </c>
      <c r="E109" s="599" t="s">
        <v>2291</v>
      </c>
      <c r="F109" s="599" t="s">
        <v>2291</v>
      </c>
      <c r="G109" s="598" t="s">
        <v>2353</v>
      </c>
      <c r="H109" s="599" t="s">
        <v>2315</v>
      </c>
      <c r="I109" s="598" t="s">
        <v>2314</v>
      </c>
      <c r="J109" s="598" t="s">
        <v>2332</v>
      </c>
      <c r="K109" s="598" t="s">
        <v>2319</v>
      </c>
      <c r="L109" s="598" t="s">
        <v>2310</v>
      </c>
      <c r="M109" s="598" t="s">
        <v>2302</v>
      </c>
      <c r="N109" s="598" t="s">
        <v>2354</v>
      </c>
      <c r="O109" s="598" t="s">
        <v>2207</v>
      </c>
      <c r="P109" s="598" t="s">
        <v>2343</v>
      </c>
      <c r="Q109" s="598" t="s">
        <v>2354</v>
      </c>
      <c r="R109" s="598" t="s">
        <v>2334</v>
      </c>
      <c r="S109" s="598" t="s">
        <v>2302</v>
      </c>
      <c r="T109" s="598" t="s">
        <v>2319</v>
      </c>
      <c r="U109" s="598" t="s">
        <v>2319</v>
      </c>
      <c r="V109" s="598" t="s">
        <v>2319</v>
      </c>
      <c r="W109" s="598" t="s">
        <v>2315</v>
      </c>
      <c r="X109" s="598" t="s">
        <v>2339</v>
      </c>
      <c r="Y109" s="598" t="s">
        <v>2331</v>
      </c>
      <c r="Z109" s="599" t="s">
        <v>2339</v>
      </c>
      <c r="AA109" s="598"/>
      <c r="AB109" s="599" t="s">
        <v>2207</v>
      </c>
      <c r="AC109" s="599" t="s">
        <v>2207</v>
      </c>
      <c r="AD109" s="599" t="s">
        <v>2207</v>
      </c>
      <c r="AE109" s="598"/>
      <c r="AF109" s="598"/>
      <c r="AG109" s="598" t="s">
        <v>2350</v>
      </c>
      <c r="AH109" s="598" t="s">
        <v>2350</v>
      </c>
      <c r="AI109" s="598" t="s">
        <v>2332</v>
      </c>
      <c r="AJ109" s="598" t="s">
        <v>2318</v>
      </c>
      <c r="AK109" s="598" t="s">
        <v>2350</v>
      </c>
      <c r="AL109" s="598" t="s">
        <v>2350</v>
      </c>
      <c r="AM109" s="598" t="s">
        <v>2350</v>
      </c>
      <c r="AN109" s="598" t="s">
        <v>2340</v>
      </c>
      <c r="AO109" s="598" t="s">
        <v>2340</v>
      </c>
      <c r="AP109" s="598" t="s">
        <v>2352</v>
      </c>
      <c r="AQ109" s="598" t="s">
        <v>2352</v>
      </c>
      <c r="AR109" s="598" t="s">
        <v>2352</v>
      </c>
      <c r="AS109" s="598" t="s">
        <v>2352</v>
      </c>
      <c r="AT109" s="598" t="s">
        <v>2355</v>
      </c>
      <c r="AU109" s="598" t="s">
        <v>2356</v>
      </c>
      <c r="AV109" s="598" t="s">
        <v>2343</v>
      </c>
      <c r="AW109" s="598" t="s">
        <v>2351</v>
      </c>
      <c r="AX109" s="598" t="s">
        <v>2357</v>
      </c>
      <c r="AY109" s="599" t="s">
        <v>2331</v>
      </c>
      <c r="AZ109" s="598" t="s">
        <v>2320</v>
      </c>
      <c r="BA109" s="598" t="s">
        <v>2315</v>
      </c>
      <c r="BB109" s="598" t="s">
        <v>2315</v>
      </c>
    </row>
    <row r="110" customFormat="false" ht="12.75" hidden="false" customHeight="false" outlineLevel="0" collapsed="false">
      <c r="B110" s="598" t="n">
        <v>29</v>
      </c>
      <c r="C110" s="598" t="s">
        <v>2314</v>
      </c>
      <c r="D110" s="598" t="s">
        <v>2284</v>
      </c>
      <c r="E110" s="598" t="s">
        <v>2284</v>
      </c>
      <c r="F110" s="598" t="s">
        <v>2284</v>
      </c>
      <c r="G110" s="598" t="s">
        <v>2355</v>
      </c>
      <c r="H110" s="598" t="s">
        <v>2324</v>
      </c>
      <c r="I110" s="598" t="s">
        <v>2353</v>
      </c>
      <c r="J110" s="598" t="s">
        <v>2340</v>
      </c>
      <c r="K110" s="598" t="s">
        <v>2348</v>
      </c>
      <c r="L110" s="599" t="s">
        <v>2326</v>
      </c>
      <c r="M110" s="598" t="s">
        <v>2315</v>
      </c>
      <c r="N110" s="598" t="s">
        <v>2207</v>
      </c>
      <c r="O110" s="598" t="s">
        <v>2345</v>
      </c>
      <c r="P110" s="598" t="s">
        <v>2352</v>
      </c>
      <c r="Q110" s="598" t="s">
        <v>2358</v>
      </c>
      <c r="R110" s="598" t="s">
        <v>2355</v>
      </c>
      <c r="S110" s="598" t="s">
        <v>2315</v>
      </c>
      <c r="T110" s="598" t="s">
        <v>2348</v>
      </c>
      <c r="U110" s="598" t="s">
        <v>2348</v>
      </c>
      <c r="V110" s="598" t="s">
        <v>2348</v>
      </c>
      <c r="W110" s="598" t="s">
        <v>2359</v>
      </c>
      <c r="X110" s="598" t="s">
        <v>2315</v>
      </c>
      <c r="Y110" s="598" t="s">
        <v>2349</v>
      </c>
      <c r="Z110" s="598" t="s">
        <v>2360</v>
      </c>
      <c r="AA110" s="598"/>
      <c r="AB110" s="598"/>
      <c r="AC110" s="598"/>
      <c r="AD110" s="598"/>
      <c r="AE110" s="598"/>
      <c r="AF110" s="598"/>
      <c r="AG110" s="598" t="s">
        <v>2332</v>
      </c>
      <c r="AH110" s="598" t="s">
        <v>2332</v>
      </c>
      <c r="AI110" s="598" t="s">
        <v>2340</v>
      </c>
      <c r="AJ110" s="598" t="s">
        <v>2350</v>
      </c>
      <c r="AK110" s="598" t="s">
        <v>2332</v>
      </c>
      <c r="AL110" s="598" t="s">
        <v>2332</v>
      </c>
      <c r="AM110" s="598" t="s">
        <v>2332</v>
      </c>
      <c r="AN110" s="598" t="s">
        <v>2337</v>
      </c>
      <c r="AO110" s="598" t="s">
        <v>2337</v>
      </c>
      <c r="AP110" s="598" t="s">
        <v>2302</v>
      </c>
      <c r="AQ110" s="598" t="s">
        <v>2302</v>
      </c>
      <c r="AR110" s="598" t="s">
        <v>2302</v>
      </c>
      <c r="AS110" s="598" t="s">
        <v>2302</v>
      </c>
      <c r="AT110" s="598" t="s">
        <v>2336</v>
      </c>
      <c r="AU110" s="598" t="s">
        <v>2354</v>
      </c>
      <c r="AV110" s="598" t="s">
        <v>2320</v>
      </c>
      <c r="AW110" s="598" t="s">
        <v>2357</v>
      </c>
      <c r="AX110" s="598"/>
      <c r="AY110" s="599" t="s">
        <v>2353</v>
      </c>
      <c r="AZ110" s="598" t="s">
        <v>2361</v>
      </c>
      <c r="BA110" s="598" t="s">
        <v>2341</v>
      </c>
      <c r="BB110" s="598" t="s">
        <v>2341</v>
      </c>
    </row>
    <row r="111" customFormat="false" ht="12.75" hidden="false" customHeight="false" outlineLevel="0" collapsed="false">
      <c r="B111" s="598" t="n">
        <v>30</v>
      </c>
      <c r="C111" s="598" t="s">
        <v>2302</v>
      </c>
      <c r="D111" s="598" t="s">
        <v>2323</v>
      </c>
      <c r="E111" s="598" t="s">
        <v>2323</v>
      </c>
      <c r="F111" s="598" t="s">
        <v>2323</v>
      </c>
      <c r="G111" s="598" t="s">
        <v>2336</v>
      </c>
      <c r="H111" s="598" t="s">
        <v>2334</v>
      </c>
      <c r="I111" s="598" t="s">
        <v>2362</v>
      </c>
      <c r="J111" s="598" t="s">
        <v>2337</v>
      </c>
      <c r="K111" s="598" t="s">
        <v>2339</v>
      </c>
      <c r="L111" s="598" t="s">
        <v>2319</v>
      </c>
      <c r="M111" s="598" t="s">
        <v>2334</v>
      </c>
      <c r="N111" s="598" t="s">
        <v>2363</v>
      </c>
      <c r="O111" s="598"/>
      <c r="P111" s="598" t="s">
        <v>2302</v>
      </c>
      <c r="Q111" s="598" t="s">
        <v>2207</v>
      </c>
      <c r="R111" s="598" t="s">
        <v>2336</v>
      </c>
      <c r="S111" s="598" t="s">
        <v>2341</v>
      </c>
      <c r="T111" s="598" t="s">
        <v>2339</v>
      </c>
      <c r="U111" s="598" t="s">
        <v>2339</v>
      </c>
      <c r="V111" s="598" t="s">
        <v>2339</v>
      </c>
      <c r="W111" s="598" t="s">
        <v>2355</v>
      </c>
      <c r="X111" s="598" t="s">
        <v>2341</v>
      </c>
      <c r="Y111" s="598" t="s">
        <v>2354</v>
      </c>
      <c r="Z111" s="598" t="s">
        <v>2320</v>
      </c>
      <c r="AA111" s="598"/>
      <c r="AB111" s="598"/>
      <c r="AC111" s="598"/>
      <c r="AD111" s="598"/>
      <c r="AE111" s="598"/>
      <c r="AF111" s="598"/>
      <c r="AG111" s="598" t="s">
        <v>2340</v>
      </c>
      <c r="AH111" s="598" t="s">
        <v>2340</v>
      </c>
      <c r="AI111" s="598" t="s">
        <v>2337</v>
      </c>
      <c r="AJ111" s="598" t="s">
        <v>2332</v>
      </c>
      <c r="AK111" s="598" t="s">
        <v>2340</v>
      </c>
      <c r="AL111" s="598" t="s">
        <v>2340</v>
      </c>
      <c r="AM111" s="598" t="s">
        <v>2340</v>
      </c>
      <c r="AN111" s="598" t="s">
        <v>2352</v>
      </c>
      <c r="AO111" s="598" t="s">
        <v>2352</v>
      </c>
      <c r="AP111" s="598" t="s">
        <v>2315</v>
      </c>
      <c r="AQ111" s="598" t="s">
        <v>2315</v>
      </c>
      <c r="AR111" s="598" t="s">
        <v>2315</v>
      </c>
      <c r="AS111" s="598" t="s">
        <v>2315</v>
      </c>
      <c r="AT111" s="598" t="s">
        <v>2357</v>
      </c>
      <c r="AU111" s="598" t="s">
        <v>2364</v>
      </c>
      <c r="AV111" s="599" t="s">
        <v>2365</v>
      </c>
      <c r="AW111" s="598"/>
      <c r="AX111" s="598"/>
      <c r="AY111" s="599" t="s">
        <v>2358</v>
      </c>
      <c r="AZ111" s="598" t="s">
        <v>2349</v>
      </c>
      <c r="BA111" s="598" t="s">
        <v>2334</v>
      </c>
      <c r="BB111" s="598" t="s">
        <v>2334</v>
      </c>
    </row>
    <row r="112" customFormat="false" ht="12.75" hidden="false" customHeight="false" outlineLevel="0" collapsed="false">
      <c r="B112" s="598" t="n">
        <v>31</v>
      </c>
      <c r="C112" s="598" t="s">
        <v>2339</v>
      </c>
      <c r="D112" s="598" t="s">
        <v>2340</v>
      </c>
      <c r="E112" s="598" t="s">
        <v>2340</v>
      </c>
      <c r="F112" s="598" t="s">
        <v>2340</v>
      </c>
      <c r="G112" s="599" t="s">
        <v>2207</v>
      </c>
      <c r="H112" s="598" t="s">
        <v>2355</v>
      </c>
      <c r="I112" s="598" t="s">
        <v>2336</v>
      </c>
      <c r="J112" s="598" t="s">
        <v>2343</v>
      </c>
      <c r="K112" s="598" t="s">
        <v>2341</v>
      </c>
      <c r="L112" s="598" t="s">
        <v>2333</v>
      </c>
      <c r="M112" s="598" t="s">
        <v>2331</v>
      </c>
      <c r="N112" s="598"/>
      <c r="O112" s="598"/>
      <c r="P112" s="598" t="s">
        <v>2315</v>
      </c>
      <c r="Q112" s="599" t="s">
        <v>2345</v>
      </c>
      <c r="R112" s="598" t="s">
        <v>2207</v>
      </c>
      <c r="S112" s="598" t="s">
        <v>2320</v>
      </c>
      <c r="T112" s="598" t="s">
        <v>2341</v>
      </c>
      <c r="U112" s="598" t="s">
        <v>2341</v>
      </c>
      <c r="V112" s="598" t="s">
        <v>2341</v>
      </c>
      <c r="W112" s="598" t="s">
        <v>2336</v>
      </c>
      <c r="X112" s="598" t="s">
        <v>2359</v>
      </c>
      <c r="Y112" s="599" t="s">
        <v>2353</v>
      </c>
      <c r="Z112" s="598" t="s">
        <v>2365</v>
      </c>
      <c r="AA112" s="598"/>
      <c r="AB112" s="598"/>
      <c r="AC112" s="598"/>
      <c r="AD112" s="598"/>
      <c r="AE112" s="598"/>
      <c r="AF112" s="598"/>
      <c r="AG112" s="598" t="s">
        <v>2337</v>
      </c>
      <c r="AH112" s="598" t="s">
        <v>2337</v>
      </c>
      <c r="AI112" s="598" t="s">
        <v>2343</v>
      </c>
      <c r="AJ112" s="598" t="s">
        <v>2340</v>
      </c>
      <c r="AK112" s="598" t="s">
        <v>2337</v>
      </c>
      <c r="AL112" s="598" t="s">
        <v>2337</v>
      </c>
      <c r="AM112" s="598" t="s">
        <v>2337</v>
      </c>
      <c r="AN112" s="598" t="s">
        <v>2341</v>
      </c>
      <c r="AO112" s="598" t="s">
        <v>2341</v>
      </c>
      <c r="AP112" s="598" t="s">
        <v>2360</v>
      </c>
      <c r="AQ112" s="598" t="s">
        <v>2360</v>
      </c>
      <c r="AR112" s="598" t="s">
        <v>2360</v>
      </c>
      <c r="AS112" s="598" t="s">
        <v>2360</v>
      </c>
      <c r="AT112" s="598"/>
      <c r="AU112" s="598"/>
      <c r="AV112" s="599" t="s">
        <v>2207</v>
      </c>
      <c r="AW112" s="598"/>
      <c r="AX112" s="598"/>
      <c r="AY112" s="599" t="s">
        <v>2207</v>
      </c>
      <c r="AZ112" s="598" t="s">
        <v>2354</v>
      </c>
      <c r="BA112" s="598" t="s">
        <v>2331</v>
      </c>
      <c r="BB112" s="598" t="s">
        <v>2331</v>
      </c>
    </row>
    <row r="113" customFormat="false" ht="12.75" hidden="false" customHeight="false" outlineLevel="0" collapsed="false">
      <c r="B113" s="598" t="n">
        <v>32</v>
      </c>
      <c r="C113" s="598" t="s">
        <v>2315</v>
      </c>
      <c r="D113" s="598" t="s">
        <v>2302</v>
      </c>
      <c r="E113" s="598" t="s">
        <v>2302</v>
      </c>
      <c r="F113" s="598" t="s">
        <v>2302</v>
      </c>
      <c r="G113" s="598" t="s">
        <v>2207</v>
      </c>
      <c r="H113" s="598" t="s">
        <v>2336</v>
      </c>
      <c r="I113" s="598" t="s">
        <v>2358</v>
      </c>
      <c r="J113" s="598" t="s">
        <v>2366</v>
      </c>
      <c r="K113" s="598" t="s">
        <v>2334</v>
      </c>
      <c r="L113" s="598" t="s">
        <v>2330</v>
      </c>
      <c r="M113" s="598" t="s">
        <v>2353</v>
      </c>
      <c r="N113" s="598"/>
      <c r="O113" s="598"/>
      <c r="P113" s="598" t="s">
        <v>2341</v>
      </c>
      <c r="Q113" s="598" t="s">
        <v>2367</v>
      </c>
      <c r="R113" s="598" t="s">
        <v>2357</v>
      </c>
      <c r="S113" s="598" t="s">
        <v>2334</v>
      </c>
      <c r="T113" s="598" t="s">
        <v>2334</v>
      </c>
      <c r="U113" s="598" t="s">
        <v>2334</v>
      </c>
      <c r="V113" s="598" t="s">
        <v>2334</v>
      </c>
      <c r="W113" s="599" t="s">
        <v>2207</v>
      </c>
      <c r="X113" s="598" t="s">
        <v>2355</v>
      </c>
      <c r="Y113" s="599" t="s">
        <v>2358</v>
      </c>
      <c r="Z113" s="598" t="s">
        <v>2368</v>
      </c>
      <c r="AA113" s="598"/>
      <c r="AB113" s="598"/>
      <c r="AC113" s="598"/>
      <c r="AD113" s="598"/>
      <c r="AE113" s="598"/>
      <c r="AF113" s="598"/>
      <c r="AG113" s="598" t="s">
        <v>2343</v>
      </c>
      <c r="AH113" s="598" t="s">
        <v>2343</v>
      </c>
      <c r="AI113" s="598" t="s">
        <v>2366</v>
      </c>
      <c r="AJ113" s="598" t="s">
        <v>2337</v>
      </c>
      <c r="AK113" s="598" t="s">
        <v>2343</v>
      </c>
      <c r="AL113" s="598" t="s">
        <v>2343</v>
      </c>
      <c r="AM113" s="598" t="s">
        <v>2343</v>
      </c>
      <c r="AN113" s="598" t="s">
        <v>2320</v>
      </c>
      <c r="AO113" s="598" t="s">
        <v>2320</v>
      </c>
      <c r="AP113" s="598" t="s">
        <v>2320</v>
      </c>
      <c r="AQ113" s="598" t="s">
        <v>2320</v>
      </c>
      <c r="AR113" s="598" t="s">
        <v>2320</v>
      </c>
      <c r="AS113" s="598" t="s">
        <v>2320</v>
      </c>
      <c r="AT113" s="598"/>
      <c r="AU113" s="598"/>
      <c r="AV113" s="598" t="s">
        <v>2369</v>
      </c>
      <c r="AW113" s="598"/>
      <c r="AX113" s="598"/>
      <c r="AY113" s="598" t="s">
        <v>2345</v>
      </c>
      <c r="AZ113" s="599" t="s">
        <v>2358</v>
      </c>
      <c r="BA113" s="598" t="s">
        <v>2353</v>
      </c>
      <c r="BB113" s="598" t="s">
        <v>2353</v>
      </c>
    </row>
    <row r="114" customFormat="false" ht="12.75" hidden="false" customHeight="false" outlineLevel="0" collapsed="false">
      <c r="B114" s="598" t="n">
        <v>33</v>
      </c>
      <c r="C114" s="599" t="s">
        <v>2320</v>
      </c>
      <c r="D114" s="598" t="s">
        <v>2339</v>
      </c>
      <c r="E114" s="598" t="s">
        <v>2339</v>
      </c>
      <c r="F114" s="598" t="s">
        <v>2339</v>
      </c>
      <c r="G114" s="598" t="s">
        <v>2345</v>
      </c>
      <c r="H114" s="598" t="s">
        <v>2207</v>
      </c>
      <c r="I114" s="598" t="s">
        <v>2207</v>
      </c>
      <c r="J114" s="599" t="s">
        <v>2302</v>
      </c>
      <c r="K114" s="598" t="s">
        <v>2331</v>
      </c>
      <c r="L114" s="598" t="s">
        <v>2341</v>
      </c>
      <c r="M114" s="598" t="s">
        <v>2355</v>
      </c>
      <c r="N114" s="598"/>
      <c r="O114" s="598"/>
      <c r="P114" s="598" t="s">
        <v>2320</v>
      </c>
      <c r="Q114" s="598" t="s">
        <v>2370</v>
      </c>
      <c r="R114" s="598"/>
      <c r="S114" s="598" t="s">
        <v>2353</v>
      </c>
      <c r="T114" s="598" t="s">
        <v>2331</v>
      </c>
      <c r="U114" s="598" t="s">
        <v>2331</v>
      </c>
      <c r="V114" s="598" t="s">
        <v>2331</v>
      </c>
      <c r="W114" s="598" t="s">
        <v>2346</v>
      </c>
      <c r="X114" s="598" t="s">
        <v>2336</v>
      </c>
      <c r="Y114" s="599" t="s">
        <v>2207</v>
      </c>
      <c r="Z114" s="598" t="s">
        <v>2371</v>
      </c>
      <c r="AA114" s="598"/>
      <c r="AB114" s="598"/>
      <c r="AC114" s="598"/>
      <c r="AD114" s="598"/>
      <c r="AE114" s="598"/>
      <c r="AF114" s="598"/>
      <c r="AG114" s="598" t="s">
        <v>2366</v>
      </c>
      <c r="AH114" s="598" t="s">
        <v>2366</v>
      </c>
      <c r="AI114" s="599" t="s">
        <v>2302</v>
      </c>
      <c r="AJ114" s="598" t="s">
        <v>2343</v>
      </c>
      <c r="AK114" s="598" t="s">
        <v>2366</v>
      </c>
      <c r="AL114" s="598" t="s">
        <v>2366</v>
      </c>
      <c r="AM114" s="598" t="s">
        <v>2366</v>
      </c>
      <c r="AN114" s="598" t="s">
        <v>2361</v>
      </c>
      <c r="AO114" s="598" t="s">
        <v>2361</v>
      </c>
      <c r="AP114" s="598" t="s">
        <v>2361</v>
      </c>
      <c r="AQ114" s="598" t="s">
        <v>2361</v>
      </c>
      <c r="AR114" s="598" t="s">
        <v>2361</v>
      </c>
      <c r="AS114" s="598" t="s">
        <v>2361</v>
      </c>
      <c r="AT114" s="598"/>
      <c r="AU114" s="598"/>
      <c r="AV114" s="598" t="s">
        <v>2372</v>
      </c>
      <c r="AW114" s="598"/>
      <c r="AX114" s="598"/>
      <c r="AY114" s="598" t="s">
        <v>2351</v>
      </c>
      <c r="AZ114" s="599" t="s">
        <v>2207</v>
      </c>
      <c r="BA114" s="598" t="s">
        <v>2355</v>
      </c>
      <c r="BB114" s="598" t="s">
        <v>2355</v>
      </c>
    </row>
    <row r="115" customFormat="false" ht="12.75" hidden="false" customHeight="false" outlineLevel="0" collapsed="false">
      <c r="B115" s="598" t="n">
        <v>34</v>
      </c>
      <c r="C115" s="599" t="s">
        <v>2324</v>
      </c>
      <c r="D115" s="598" t="s">
        <v>2315</v>
      </c>
      <c r="E115" s="598" t="s">
        <v>2315</v>
      </c>
      <c r="F115" s="598" t="s">
        <v>2315</v>
      </c>
      <c r="G115" s="598" t="s">
        <v>2370</v>
      </c>
      <c r="H115" s="598"/>
      <c r="I115" s="598" t="s">
        <v>2373</v>
      </c>
      <c r="J115" s="598" t="s">
        <v>2315</v>
      </c>
      <c r="K115" s="598" t="s">
        <v>2353</v>
      </c>
      <c r="L115" s="598" t="s">
        <v>2349</v>
      </c>
      <c r="M115" s="598" t="s">
        <v>2336</v>
      </c>
      <c r="N115" s="598"/>
      <c r="O115" s="598"/>
      <c r="P115" s="598" t="s">
        <v>2361</v>
      </c>
      <c r="Q115" s="598"/>
      <c r="R115" s="598"/>
      <c r="S115" s="598" t="s">
        <v>2336</v>
      </c>
      <c r="T115" s="598" t="s">
        <v>2353</v>
      </c>
      <c r="U115" s="598" t="s">
        <v>2353</v>
      </c>
      <c r="V115" s="598" t="s">
        <v>2353</v>
      </c>
      <c r="W115" s="598" t="s">
        <v>2372</v>
      </c>
      <c r="X115" s="599" t="s">
        <v>2207</v>
      </c>
      <c r="Y115" s="598" t="s">
        <v>2374</v>
      </c>
      <c r="Z115" s="599" t="s">
        <v>2207</v>
      </c>
      <c r="AA115" s="598"/>
      <c r="AB115" s="598"/>
      <c r="AC115" s="598"/>
      <c r="AD115" s="598"/>
      <c r="AE115" s="598"/>
      <c r="AF115" s="598"/>
      <c r="AG115" s="599" t="s">
        <v>2302</v>
      </c>
      <c r="AH115" s="599" t="s">
        <v>2302</v>
      </c>
      <c r="AI115" s="598" t="s">
        <v>2315</v>
      </c>
      <c r="AJ115" s="598" t="s">
        <v>2366</v>
      </c>
      <c r="AK115" s="599" t="s">
        <v>2302</v>
      </c>
      <c r="AL115" s="599" t="s">
        <v>2302</v>
      </c>
      <c r="AM115" s="599" t="s">
        <v>2302</v>
      </c>
      <c r="AN115" s="599" t="s">
        <v>2365</v>
      </c>
      <c r="AO115" s="599" t="s">
        <v>2365</v>
      </c>
      <c r="AP115" s="598" t="s">
        <v>2365</v>
      </c>
      <c r="AQ115" s="598" t="s">
        <v>2365</v>
      </c>
      <c r="AR115" s="598" t="s">
        <v>2365</v>
      </c>
      <c r="AS115" s="598" t="s">
        <v>2365</v>
      </c>
      <c r="AT115" s="598"/>
      <c r="AU115" s="598"/>
      <c r="AV115" s="598" t="s">
        <v>2351</v>
      </c>
      <c r="AW115" s="598"/>
      <c r="AX115" s="598"/>
      <c r="AY115" s="598"/>
      <c r="AZ115" s="598" t="s">
        <v>2363</v>
      </c>
      <c r="BA115" s="599" t="s">
        <v>2358</v>
      </c>
      <c r="BB115" s="599" t="s">
        <v>2358</v>
      </c>
    </row>
    <row r="116" customFormat="false" ht="12.75" hidden="false" customHeight="false" outlineLevel="0" collapsed="false">
      <c r="B116" s="598" t="n">
        <v>35</v>
      </c>
      <c r="C116" s="599" t="s">
        <v>2359</v>
      </c>
      <c r="D116" s="598" t="s">
        <v>2331</v>
      </c>
      <c r="E116" s="598" t="s">
        <v>2331</v>
      </c>
      <c r="F116" s="598" t="s">
        <v>2331</v>
      </c>
      <c r="G116" s="598"/>
      <c r="H116" s="598"/>
      <c r="I116" s="598" t="s">
        <v>2375</v>
      </c>
      <c r="J116" s="598" t="s">
        <v>2331</v>
      </c>
      <c r="K116" s="598" t="s">
        <v>2362</v>
      </c>
      <c r="L116" s="598" t="s">
        <v>2354</v>
      </c>
      <c r="M116" s="598" t="s">
        <v>2207</v>
      </c>
      <c r="N116" s="598"/>
      <c r="O116" s="598"/>
      <c r="P116" s="598" t="s">
        <v>2331</v>
      </c>
      <c r="Q116" s="598"/>
      <c r="R116" s="598"/>
      <c r="S116" s="599" t="s">
        <v>2358</v>
      </c>
      <c r="T116" s="598" t="s">
        <v>2362</v>
      </c>
      <c r="U116" s="598" t="s">
        <v>2362</v>
      </c>
      <c r="V116" s="598" t="s">
        <v>2362</v>
      </c>
      <c r="W116" s="598" t="s">
        <v>2370</v>
      </c>
      <c r="X116" s="598" t="s">
        <v>2346</v>
      </c>
      <c r="Y116" s="598" t="s">
        <v>2367</v>
      </c>
      <c r="Z116" s="598" t="s">
        <v>2369</v>
      </c>
      <c r="AA116" s="598"/>
      <c r="AB116" s="598"/>
      <c r="AC116" s="598"/>
      <c r="AD116" s="598"/>
      <c r="AE116" s="598"/>
      <c r="AF116" s="598"/>
      <c r="AG116" s="598" t="s">
        <v>2315</v>
      </c>
      <c r="AH116" s="598" t="s">
        <v>2315</v>
      </c>
      <c r="AI116" s="598" t="s">
        <v>2331</v>
      </c>
      <c r="AJ116" s="599" t="s">
        <v>2302</v>
      </c>
      <c r="AK116" s="598" t="s">
        <v>2315</v>
      </c>
      <c r="AL116" s="598" t="s">
        <v>2315</v>
      </c>
      <c r="AM116" s="598" t="s">
        <v>2315</v>
      </c>
      <c r="AN116" s="599" t="s">
        <v>2358</v>
      </c>
      <c r="AO116" s="599" t="s">
        <v>2358</v>
      </c>
      <c r="AP116" s="598" t="s">
        <v>2368</v>
      </c>
      <c r="AQ116" s="598" t="s">
        <v>2368</v>
      </c>
      <c r="AR116" s="598" t="s">
        <v>2368</v>
      </c>
      <c r="AS116" s="598" t="s">
        <v>2368</v>
      </c>
      <c r="AT116" s="598"/>
      <c r="AU116" s="598"/>
      <c r="AV116" s="598"/>
      <c r="AW116" s="598"/>
      <c r="AX116" s="598"/>
      <c r="AY116" s="598"/>
      <c r="AZ116" s="598"/>
      <c r="BA116" s="599" t="s">
        <v>2207</v>
      </c>
      <c r="BB116" s="599" t="s">
        <v>2207</v>
      </c>
    </row>
    <row r="117" customFormat="false" ht="12.75" hidden="false" customHeight="false" outlineLevel="0" collapsed="false">
      <c r="B117" s="598" t="n">
        <v>36</v>
      </c>
      <c r="C117" s="599" t="s">
        <v>2355</v>
      </c>
      <c r="D117" s="598" t="s">
        <v>2376</v>
      </c>
      <c r="E117" s="598" t="s">
        <v>2376</v>
      </c>
      <c r="F117" s="598" t="s">
        <v>2376</v>
      </c>
      <c r="G117" s="598"/>
      <c r="H117" s="598"/>
      <c r="I117" s="598" t="s">
        <v>2370</v>
      </c>
      <c r="J117" s="598" t="s">
        <v>2355</v>
      </c>
      <c r="K117" s="598" t="s">
        <v>2355</v>
      </c>
      <c r="L117" s="598" t="s">
        <v>2353</v>
      </c>
      <c r="M117" s="598" t="s">
        <v>2345</v>
      </c>
      <c r="N117" s="598"/>
      <c r="O117" s="598"/>
      <c r="P117" s="598" t="s">
        <v>2362</v>
      </c>
      <c r="Q117" s="598"/>
      <c r="R117" s="598"/>
      <c r="S117" s="598" t="s">
        <v>2207</v>
      </c>
      <c r="T117" s="598" t="s">
        <v>2355</v>
      </c>
      <c r="U117" s="598" t="s">
        <v>2355</v>
      </c>
      <c r="V117" s="598" t="s">
        <v>2355</v>
      </c>
      <c r="W117" s="598"/>
      <c r="X117" s="598" t="s">
        <v>2372</v>
      </c>
      <c r="Y117" s="598" t="s">
        <v>2364</v>
      </c>
      <c r="Z117" s="598" t="s">
        <v>2363</v>
      </c>
      <c r="AA117" s="598"/>
      <c r="AB117" s="598"/>
      <c r="AC117" s="598"/>
      <c r="AD117" s="598"/>
      <c r="AE117" s="598"/>
      <c r="AF117" s="598"/>
      <c r="AG117" s="598" t="s">
        <v>2331</v>
      </c>
      <c r="AH117" s="598" t="s">
        <v>2331</v>
      </c>
      <c r="AI117" s="598" t="s">
        <v>2355</v>
      </c>
      <c r="AJ117" s="598" t="s">
        <v>2315</v>
      </c>
      <c r="AK117" s="598" t="s">
        <v>2331</v>
      </c>
      <c r="AL117" s="598" t="s">
        <v>2331</v>
      </c>
      <c r="AM117" s="598" t="s">
        <v>2331</v>
      </c>
      <c r="AN117" s="599" t="s">
        <v>2207</v>
      </c>
      <c r="AO117" s="599" t="s">
        <v>2207</v>
      </c>
      <c r="AP117" s="598" t="s">
        <v>2369</v>
      </c>
      <c r="AQ117" s="598" t="s">
        <v>2369</v>
      </c>
      <c r="AR117" s="598" t="s">
        <v>2369</v>
      </c>
      <c r="AS117" s="598" t="s">
        <v>2369</v>
      </c>
      <c r="AT117" s="598"/>
      <c r="AU117" s="598"/>
      <c r="AV117" s="598"/>
      <c r="AW117" s="598"/>
      <c r="AX117" s="598"/>
      <c r="AY117" s="598"/>
      <c r="AZ117" s="598"/>
      <c r="BA117" s="598" t="s">
        <v>2345</v>
      </c>
      <c r="BB117" s="598" t="s">
        <v>2345</v>
      </c>
    </row>
    <row r="118" customFormat="false" ht="12.75" hidden="false" customHeight="false" outlineLevel="0" collapsed="false">
      <c r="B118" s="598" t="n">
        <v>37</v>
      </c>
      <c r="C118" s="598" t="s">
        <v>2336</v>
      </c>
      <c r="D118" s="598" t="s">
        <v>2353</v>
      </c>
      <c r="E118" s="598" t="s">
        <v>2353</v>
      </c>
      <c r="F118" s="598" t="s">
        <v>2353</v>
      </c>
      <c r="G118" s="598"/>
      <c r="H118" s="598"/>
      <c r="I118" s="598"/>
      <c r="J118" s="599" t="s">
        <v>2207</v>
      </c>
      <c r="K118" s="598" t="s">
        <v>2358</v>
      </c>
      <c r="L118" s="598" t="s">
        <v>2207</v>
      </c>
      <c r="M118" s="598"/>
      <c r="N118" s="598"/>
      <c r="O118" s="598"/>
      <c r="P118" s="598" t="s">
        <v>2355</v>
      </c>
      <c r="Q118" s="598"/>
      <c r="R118" s="598"/>
      <c r="S118" s="598" t="s">
        <v>2367</v>
      </c>
      <c r="T118" s="599" t="s">
        <v>2358</v>
      </c>
      <c r="U118" s="599" t="s">
        <v>2358</v>
      </c>
      <c r="V118" s="599" t="s">
        <v>2358</v>
      </c>
      <c r="W118" s="598"/>
      <c r="X118" s="598" t="s">
        <v>2370</v>
      </c>
      <c r="Y118" s="598" t="s">
        <v>2370</v>
      </c>
      <c r="Z118" s="598"/>
      <c r="AA118" s="598"/>
      <c r="AB118" s="598"/>
      <c r="AC118" s="598"/>
      <c r="AD118" s="598"/>
      <c r="AE118" s="598"/>
      <c r="AF118" s="598"/>
      <c r="AG118" s="598" t="s">
        <v>2355</v>
      </c>
      <c r="AH118" s="598" t="s">
        <v>2355</v>
      </c>
      <c r="AI118" s="599" t="s">
        <v>2207</v>
      </c>
      <c r="AJ118" s="598" t="s">
        <v>2331</v>
      </c>
      <c r="AK118" s="598" t="s">
        <v>2355</v>
      </c>
      <c r="AL118" s="598" t="s">
        <v>2355</v>
      </c>
      <c r="AM118" s="598" t="s">
        <v>2355</v>
      </c>
      <c r="AN118" s="598" t="s">
        <v>2367</v>
      </c>
      <c r="AO118" s="598" t="s">
        <v>2367</v>
      </c>
      <c r="AP118" s="598"/>
      <c r="AQ118" s="598"/>
      <c r="AR118" s="598"/>
      <c r="AS118" s="598"/>
      <c r="AT118" s="598"/>
      <c r="AU118" s="598"/>
      <c r="AV118" s="598"/>
      <c r="AW118" s="598"/>
      <c r="AX118" s="598"/>
      <c r="AY118" s="598"/>
      <c r="AZ118" s="598"/>
      <c r="BA118" s="598" t="s">
        <v>2357</v>
      </c>
      <c r="BB118" s="598" t="s">
        <v>2357</v>
      </c>
    </row>
    <row r="119" customFormat="false" ht="12.75" hidden="false" customHeight="false" outlineLevel="0" collapsed="false">
      <c r="B119" s="598" t="n">
        <v>38</v>
      </c>
      <c r="C119" s="599" t="s">
        <v>2207</v>
      </c>
      <c r="D119" s="598" t="s">
        <v>2358</v>
      </c>
      <c r="E119" s="598" t="s">
        <v>2358</v>
      </c>
      <c r="F119" s="598" t="s">
        <v>2358</v>
      </c>
      <c r="G119" s="598"/>
      <c r="H119" s="598"/>
      <c r="I119" s="598"/>
      <c r="J119" s="598" t="s">
        <v>2345</v>
      </c>
      <c r="K119" s="599" t="s">
        <v>2207</v>
      </c>
      <c r="L119" s="598" t="s">
        <v>2377</v>
      </c>
      <c r="M119" s="598"/>
      <c r="N119" s="598"/>
      <c r="O119" s="598"/>
      <c r="P119" s="598" t="s">
        <v>2207</v>
      </c>
      <c r="Q119" s="598"/>
      <c r="R119" s="598"/>
      <c r="S119" s="598" t="s">
        <v>2346</v>
      </c>
      <c r="T119" s="599" t="s">
        <v>2207</v>
      </c>
      <c r="U119" s="599" t="s">
        <v>2207</v>
      </c>
      <c r="V119" s="599" t="s">
        <v>2207</v>
      </c>
      <c r="W119" s="598"/>
      <c r="X119" s="598"/>
      <c r="Y119" s="598"/>
      <c r="Z119" s="598"/>
      <c r="AA119" s="598"/>
      <c r="AB119" s="598"/>
      <c r="AC119" s="598"/>
      <c r="AD119" s="598"/>
      <c r="AE119" s="598"/>
      <c r="AF119" s="598"/>
      <c r="AG119" s="599" t="s">
        <v>2207</v>
      </c>
      <c r="AH119" s="599" t="s">
        <v>2207</v>
      </c>
      <c r="AI119" s="598" t="s">
        <v>2345</v>
      </c>
      <c r="AJ119" s="598" t="s">
        <v>2355</v>
      </c>
      <c r="AK119" s="599" t="s">
        <v>2207</v>
      </c>
      <c r="AL119" s="599" t="s">
        <v>2207</v>
      </c>
      <c r="AM119" s="599" t="s">
        <v>2207</v>
      </c>
      <c r="AN119" s="598"/>
      <c r="AO119" s="598"/>
      <c r="AP119" s="598"/>
      <c r="AQ119" s="598"/>
      <c r="AR119" s="598"/>
      <c r="AS119" s="598"/>
      <c r="AT119" s="598"/>
      <c r="AU119" s="598"/>
      <c r="AV119" s="598"/>
      <c r="AW119" s="598"/>
      <c r="AX119" s="598"/>
      <c r="AY119" s="598"/>
      <c r="AZ119" s="598"/>
      <c r="BA119" s="598"/>
      <c r="BB119" s="598"/>
    </row>
    <row r="120" customFormat="false" ht="12.75" hidden="false" customHeight="false" outlineLevel="0" collapsed="false">
      <c r="B120" s="598" t="n">
        <v>39</v>
      </c>
      <c r="C120" s="599" t="s">
        <v>2378</v>
      </c>
      <c r="D120" s="598" t="s">
        <v>2207</v>
      </c>
      <c r="E120" s="598" t="s">
        <v>2207</v>
      </c>
      <c r="F120" s="598" t="s">
        <v>2207</v>
      </c>
      <c r="G120" s="598"/>
      <c r="H120" s="598"/>
      <c r="I120" s="598"/>
      <c r="J120" s="598"/>
      <c r="K120" s="598" t="s">
        <v>2345</v>
      </c>
      <c r="L120" s="598" t="s">
        <v>2372</v>
      </c>
      <c r="M120" s="598"/>
      <c r="N120" s="598"/>
      <c r="O120" s="598"/>
      <c r="P120" s="598" t="s">
        <v>2345</v>
      </c>
      <c r="Q120" s="598"/>
      <c r="R120" s="598"/>
      <c r="S120" s="598"/>
      <c r="T120" s="598" t="s">
        <v>2345</v>
      </c>
      <c r="U120" s="598" t="s">
        <v>2345</v>
      </c>
      <c r="V120" s="598" t="s">
        <v>2345</v>
      </c>
      <c r="W120" s="598"/>
      <c r="X120" s="598"/>
      <c r="Y120" s="598"/>
      <c r="Z120" s="598"/>
      <c r="AA120" s="598"/>
      <c r="AB120" s="598"/>
      <c r="AC120" s="598"/>
      <c r="AD120" s="598"/>
      <c r="AE120" s="598"/>
      <c r="AF120" s="598"/>
      <c r="AG120" s="598" t="s">
        <v>2345</v>
      </c>
      <c r="AH120" s="598" t="s">
        <v>2345</v>
      </c>
      <c r="AI120" s="598"/>
      <c r="AJ120" s="599" t="s">
        <v>2207</v>
      </c>
      <c r="AK120" s="598" t="s">
        <v>2345</v>
      </c>
      <c r="AL120" s="598" t="s">
        <v>2345</v>
      </c>
      <c r="AM120" s="598" t="s">
        <v>2345</v>
      </c>
      <c r="AN120" s="598"/>
      <c r="AO120" s="598"/>
      <c r="AP120" s="598"/>
      <c r="AQ120" s="598"/>
      <c r="AR120" s="598"/>
      <c r="AS120" s="598"/>
      <c r="AT120" s="598"/>
      <c r="AU120" s="598"/>
      <c r="AV120" s="598"/>
      <c r="AW120" s="598"/>
      <c r="AX120" s="598"/>
      <c r="AY120" s="598"/>
      <c r="AZ120" s="598"/>
      <c r="BA120" s="598"/>
      <c r="BB120" s="598"/>
    </row>
    <row r="121" customFormat="false" ht="12.75" hidden="false" customHeight="false" outlineLevel="0" collapsed="false">
      <c r="B121" s="598" t="n">
        <v>40</v>
      </c>
      <c r="C121" s="599"/>
      <c r="D121" s="598" t="s">
        <v>2345</v>
      </c>
      <c r="E121" s="598" t="s">
        <v>2345</v>
      </c>
      <c r="F121" s="598" t="s">
        <v>2345</v>
      </c>
      <c r="G121" s="598"/>
      <c r="H121" s="598"/>
      <c r="I121" s="598"/>
      <c r="J121" s="598"/>
      <c r="K121" s="598"/>
      <c r="L121" s="598" t="s">
        <v>2357</v>
      </c>
      <c r="M121" s="598"/>
      <c r="N121" s="598"/>
      <c r="O121" s="598"/>
      <c r="P121" s="598" t="s">
        <v>2372</v>
      </c>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row>
    <row r="122" customFormat="false" ht="12.75" hidden="false" customHeight="false" outlineLevel="0" collapsed="false">
      <c r="B122" s="598" t="n">
        <v>41</v>
      </c>
      <c r="C122" s="599"/>
      <c r="D122" s="598"/>
      <c r="E122" s="598"/>
      <c r="F122" s="598"/>
      <c r="G122" s="598"/>
      <c r="H122" s="598"/>
      <c r="I122" s="598"/>
      <c r="J122" s="598"/>
      <c r="K122" s="598"/>
      <c r="L122" s="598" t="s">
        <v>2364</v>
      </c>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row>
    <row r="123" customFormat="false" ht="12.75" hidden="false" customHeight="false" outlineLevel="0" collapsed="false">
      <c r="B123" s="674" t="n">
        <v>42</v>
      </c>
      <c r="C123" s="675"/>
      <c r="D123" s="674"/>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4"/>
      <c r="AO123" s="674"/>
      <c r="AP123" s="674"/>
      <c r="AQ123" s="674"/>
      <c r="AR123" s="674"/>
      <c r="AS123" s="674"/>
      <c r="AT123" s="674"/>
      <c r="AU123" s="674"/>
      <c r="AV123" s="674"/>
      <c r="AW123" s="674"/>
      <c r="AX123" s="674"/>
      <c r="AY123" s="674"/>
      <c r="AZ123" s="674"/>
      <c r="BA123" s="674"/>
      <c r="BB123" s="674"/>
    </row>
    <row r="126" customFormat="false" ht="12.75" hidden="false" customHeight="false" outlineLevel="0" collapsed="false">
      <c r="B126" s="640" t="s">
        <v>981</v>
      </c>
      <c r="C126" s="594" t="s">
        <v>1326</v>
      </c>
      <c r="D126" s="594" t="s">
        <v>1330</v>
      </c>
      <c r="E126" s="594" t="s">
        <v>1335</v>
      </c>
      <c r="F126" s="594" t="s">
        <v>1338</v>
      </c>
      <c r="G126" s="594" t="s">
        <v>1342</v>
      </c>
      <c r="H126" s="594" t="s">
        <v>1347</v>
      </c>
      <c r="I126" s="594" t="s">
        <v>1349</v>
      </c>
      <c r="J126" s="594" t="s">
        <v>1351</v>
      </c>
      <c r="K126" s="594" t="s">
        <v>1354</v>
      </c>
      <c r="L126" s="594" t="s">
        <v>986</v>
      </c>
      <c r="M126" s="594" t="s">
        <v>1359</v>
      </c>
      <c r="N126" s="594" t="s">
        <v>990</v>
      </c>
      <c r="O126" s="594" t="s">
        <v>1362</v>
      </c>
      <c r="P126" s="594" t="s">
        <v>1370</v>
      </c>
      <c r="Q126" s="594" t="s">
        <v>996</v>
      </c>
      <c r="R126" s="594" t="s">
        <v>1391</v>
      </c>
      <c r="S126" s="594" t="s">
        <v>1395</v>
      </c>
      <c r="T126" s="594" t="s">
        <v>1397</v>
      </c>
      <c r="U126" s="594" t="s">
        <v>1401</v>
      </c>
      <c r="V126" s="594" t="s">
        <v>161</v>
      </c>
      <c r="W126" s="594" t="s">
        <v>1411</v>
      </c>
      <c r="X126" s="594" t="s">
        <v>1415</v>
      </c>
      <c r="Y126" s="594" t="s">
        <v>1005</v>
      </c>
      <c r="Z126" s="594" t="s">
        <v>1419</v>
      </c>
      <c r="AA126" s="594" t="s">
        <v>1423</v>
      </c>
      <c r="AB126" s="594" t="s">
        <v>1427</v>
      </c>
      <c r="AC126" s="594" t="s">
        <v>1431</v>
      </c>
      <c r="AD126" s="594" t="s">
        <v>1491</v>
      </c>
      <c r="AE126" s="594" t="s">
        <v>1435</v>
      </c>
      <c r="AF126" s="594" t="s">
        <v>1439</v>
      </c>
      <c r="AG126" s="594" t="s">
        <v>173</v>
      </c>
      <c r="AH126" s="594" t="s">
        <v>1446</v>
      </c>
      <c r="AI126" s="594" t="s">
        <v>1448</v>
      </c>
      <c r="AJ126" s="594" t="s">
        <v>1451</v>
      </c>
      <c r="AK126" s="594" t="s">
        <v>1460</v>
      </c>
      <c r="AL126" s="594" t="s">
        <v>1455</v>
      </c>
      <c r="AM126" s="594" t="s">
        <v>1458</v>
      </c>
      <c r="AN126" s="594" t="s">
        <v>1462</v>
      </c>
      <c r="AO126" s="594" t="s">
        <v>1464</v>
      </c>
      <c r="AP126" s="594" t="s">
        <v>1466</v>
      </c>
      <c r="AQ126" s="594" t="s">
        <v>1468</v>
      </c>
      <c r="AR126" s="594" t="s">
        <v>1470</v>
      </c>
      <c r="AS126" s="594" t="s">
        <v>1472</v>
      </c>
      <c r="AT126" s="594" t="s">
        <v>1474</v>
      </c>
      <c r="AU126" s="594" t="s">
        <v>1008</v>
      </c>
      <c r="AV126" s="603" t="s">
        <v>1477</v>
      </c>
      <c r="AW126" s="603" t="s">
        <v>1479</v>
      </c>
      <c r="AX126" s="603" t="s">
        <v>1481</v>
      </c>
      <c r="AY126" s="603" t="s">
        <v>1483</v>
      </c>
      <c r="AZ126" s="603" t="s">
        <v>1001</v>
      </c>
      <c r="BA126" s="603" t="s">
        <v>1486</v>
      </c>
      <c r="BB126" s="603" t="s">
        <v>1488</v>
      </c>
    </row>
    <row r="127" customFormat="false" ht="12.75" hidden="false" customHeight="false" outlineLevel="0" collapsed="false">
      <c r="C127" s="673" t="s">
        <v>333</v>
      </c>
      <c r="D127" s="673" t="s">
        <v>287</v>
      </c>
      <c r="E127" s="673" t="s">
        <v>287</v>
      </c>
      <c r="F127" s="673" t="s">
        <v>287</v>
      </c>
      <c r="G127" s="0" t="s">
        <v>287</v>
      </c>
      <c r="H127" s="0" t="s">
        <v>287</v>
      </c>
      <c r="I127" s="0" t="s">
        <v>275</v>
      </c>
      <c r="J127" s="0" t="s">
        <v>287</v>
      </c>
      <c r="K127" s="0" t="s">
        <v>287</v>
      </c>
      <c r="L127" s="0" t="s">
        <v>278</v>
      </c>
      <c r="M127" s="676" t="s">
        <v>254</v>
      </c>
      <c r="N127" s="0" t="s">
        <v>2379</v>
      </c>
      <c r="O127" s="0" t="s">
        <v>254</v>
      </c>
      <c r="P127" s="0" t="s">
        <v>2380</v>
      </c>
      <c r="Q127" s="0" t="s">
        <v>278</v>
      </c>
      <c r="R127" s="0" t="s">
        <v>254</v>
      </c>
      <c r="S127" s="0" t="s">
        <v>254</v>
      </c>
      <c r="T127" s="0" t="s">
        <v>287</v>
      </c>
      <c r="U127" s="0" t="s">
        <v>287</v>
      </c>
      <c r="V127" s="0" t="s">
        <v>287</v>
      </c>
      <c r="W127" s="0" t="s">
        <v>303</v>
      </c>
      <c r="X127" s="0" t="s">
        <v>303</v>
      </c>
      <c r="Y127" s="0" t="s">
        <v>2271</v>
      </c>
      <c r="Z127" s="0" t="s">
        <v>287</v>
      </c>
      <c r="AA127" s="0" t="s">
        <v>254</v>
      </c>
      <c r="AB127" s="0" t="s">
        <v>287</v>
      </c>
      <c r="AC127" s="0" t="s">
        <v>254</v>
      </c>
      <c r="AD127" s="0" t="s">
        <v>254</v>
      </c>
      <c r="AE127" s="0" t="s">
        <v>312</v>
      </c>
      <c r="AF127" s="0" t="s">
        <v>312</v>
      </c>
      <c r="AG127" s="0" t="s">
        <v>287</v>
      </c>
      <c r="AH127" s="0" t="s">
        <v>287</v>
      </c>
      <c r="AI127" s="0" t="s">
        <v>287</v>
      </c>
      <c r="AJ127" s="0" t="s">
        <v>287</v>
      </c>
      <c r="AK127" s="0" t="s">
        <v>287</v>
      </c>
      <c r="AL127" s="0" t="s">
        <v>287</v>
      </c>
      <c r="AM127" s="0" t="s">
        <v>287</v>
      </c>
      <c r="AN127" s="0" t="s">
        <v>309</v>
      </c>
      <c r="AO127" s="0" t="s">
        <v>299</v>
      </c>
      <c r="AP127" s="0" t="s">
        <v>273</v>
      </c>
      <c r="AQ127" s="0" t="s">
        <v>273</v>
      </c>
      <c r="AR127" s="0" t="s">
        <v>273</v>
      </c>
      <c r="AS127" s="0" t="s">
        <v>273</v>
      </c>
      <c r="AT127" s="0" t="s">
        <v>254</v>
      </c>
      <c r="AU127" s="0" t="s">
        <v>205</v>
      </c>
      <c r="AV127" s="0" t="s">
        <v>2381</v>
      </c>
      <c r="AW127" s="0" t="s">
        <v>254</v>
      </c>
      <c r="AX127" s="0" t="s">
        <v>254</v>
      </c>
      <c r="AY127" s="0" t="s">
        <v>205</v>
      </c>
      <c r="AZ127" s="0" t="s">
        <v>278</v>
      </c>
      <c r="BA127" s="0" t="s">
        <v>303</v>
      </c>
      <c r="BB127" s="0" t="s">
        <v>303</v>
      </c>
    </row>
    <row r="128" customFormat="false" ht="12.75" hidden="false" customHeight="false" outlineLevel="0" collapsed="false">
      <c r="C128" s="673" t="s">
        <v>201</v>
      </c>
      <c r="D128" s="673" t="s">
        <v>303</v>
      </c>
      <c r="E128" s="673" t="s">
        <v>303</v>
      </c>
      <c r="F128" s="673" t="s">
        <v>303</v>
      </c>
      <c r="G128" s="0" t="s">
        <v>303</v>
      </c>
      <c r="H128" s="0" t="s">
        <v>304</v>
      </c>
      <c r="I128" s="0" t="s">
        <v>287</v>
      </c>
      <c r="J128" s="0" t="s">
        <v>303</v>
      </c>
      <c r="K128" s="0" t="s">
        <v>2271</v>
      </c>
      <c r="L128" s="0" t="s">
        <v>304</v>
      </c>
      <c r="M128" s="210" t="s">
        <v>303</v>
      </c>
      <c r="N128" s="0" t="s">
        <v>288</v>
      </c>
      <c r="O128" s="0" t="s">
        <v>287</v>
      </c>
      <c r="P128" s="0" t="s">
        <v>303</v>
      </c>
      <c r="Q128" s="0" t="s">
        <v>2382</v>
      </c>
      <c r="R128" s="0" t="s">
        <v>303</v>
      </c>
      <c r="S128" s="0" t="s">
        <v>287</v>
      </c>
      <c r="T128" s="0" t="s">
        <v>2271</v>
      </c>
      <c r="U128" s="0" t="s">
        <v>205</v>
      </c>
      <c r="V128" s="0" t="s">
        <v>2271</v>
      </c>
      <c r="W128" s="0" t="s">
        <v>333</v>
      </c>
      <c r="X128" s="0" t="s">
        <v>201</v>
      </c>
      <c r="Y128" s="0" t="s">
        <v>395</v>
      </c>
      <c r="Z128" s="0" t="s">
        <v>2383</v>
      </c>
      <c r="AA128" s="0" t="s">
        <v>287</v>
      </c>
      <c r="AB128" s="0" t="s">
        <v>288</v>
      </c>
      <c r="AC128" s="0" t="s">
        <v>287</v>
      </c>
      <c r="AD128" s="0" t="s">
        <v>287</v>
      </c>
      <c r="AE128" s="0" t="s">
        <v>201</v>
      </c>
      <c r="AF128" s="0" t="s">
        <v>201</v>
      </c>
      <c r="AG128" s="0" t="s">
        <v>303</v>
      </c>
      <c r="AH128" s="0" t="s">
        <v>303</v>
      </c>
      <c r="AI128" s="0" t="s">
        <v>205</v>
      </c>
      <c r="AJ128" s="0" t="s">
        <v>205</v>
      </c>
      <c r="AK128" s="0" t="s">
        <v>303</v>
      </c>
      <c r="AL128" s="0" t="s">
        <v>303</v>
      </c>
      <c r="AM128" s="0" t="s">
        <v>303</v>
      </c>
      <c r="AN128" s="0" t="s">
        <v>282</v>
      </c>
      <c r="AO128" s="0" t="s">
        <v>282</v>
      </c>
      <c r="AP128" s="0" t="s">
        <v>304</v>
      </c>
      <c r="AQ128" s="0" t="s">
        <v>304</v>
      </c>
      <c r="AR128" s="0" t="s">
        <v>2383</v>
      </c>
      <c r="AS128" s="0" t="s">
        <v>304</v>
      </c>
      <c r="AT128" s="0" t="s">
        <v>2384</v>
      </c>
      <c r="AU128" s="0" t="s">
        <v>2385</v>
      </c>
      <c r="AV128" s="0" t="s">
        <v>287</v>
      </c>
      <c r="AW128" s="0" t="s">
        <v>395</v>
      </c>
      <c r="AX128" s="0" t="s">
        <v>395</v>
      </c>
      <c r="AY128" s="0" t="s">
        <v>2385</v>
      </c>
      <c r="AZ128" s="0" t="s">
        <v>309</v>
      </c>
      <c r="BA128" s="0" t="s">
        <v>205</v>
      </c>
      <c r="BB128" s="0" t="s">
        <v>205</v>
      </c>
    </row>
    <row r="129" customFormat="false" ht="12.75" hidden="false" customHeight="false" outlineLevel="0" collapsed="false">
      <c r="C129" s="673" t="s">
        <v>329</v>
      </c>
      <c r="D129" s="673" t="s">
        <v>205</v>
      </c>
      <c r="E129" s="673" t="s">
        <v>205</v>
      </c>
      <c r="F129" s="673" t="s">
        <v>205</v>
      </c>
      <c r="G129" s="0" t="s">
        <v>2386</v>
      </c>
      <c r="H129" s="0" t="s">
        <v>329</v>
      </c>
      <c r="I129" s="0" t="s">
        <v>288</v>
      </c>
      <c r="J129" s="0" t="s">
        <v>205</v>
      </c>
      <c r="K129" s="0" t="s">
        <v>205</v>
      </c>
      <c r="L129" s="0" t="s">
        <v>2382</v>
      </c>
      <c r="M129" s="210" t="s">
        <v>395</v>
      </c>
      <c r="N129" s="0" t="s">
        <v>2382</v>
      </c>
      <c r="O129" s="0" t="s">
        <v>2387</v>
      </c>
      <c r="P129" s="0" t="s">
        <v>205</v>
      </c>
      <c r="Q129" s="0" t="s">
        <v>395</v>
      </c>
      <c r="R129" s="0" t="s">
        <v>201</v>
      </c>
      <c r="S129" s="0" t="s">
        <v>293</v>
      </c>
      <c r="T129" s="0" t="s">
        <v>205</v>
      </c>
      <c r="U129" s="0" t="s">
        <v>2385</v>
      </c>
      <c r="V129" s="0" t="s">
        <v>205</v>
      </c>
      <c r="W129" s="0" t="s">
        <v>201</v>
      </c>
      <c r="X129" s="0" t="s">
        <v>417</v>
      </c>
      <c r="Y129" s="0" t="s">
        <v>329</v>
      </c>
      <c r="Z129" s="0" t="s">
        <v>2388</v>
      </c>
      <c r="AA129" s="0" t="s">
        <v>288</v>
      </c>
      <c r="AB129" s="0" t="s">
        <v>329</v>
      </c>
      <c r="AC129" s="0" t="s">
        <v>2389</v>
      </c>
      <c r="AD129" s="0" t="s">
        <v>288</v>
      </c>
      <c r="AE129" s="0" t="s">
        <v>409</v>
      </c>
      <c r="AF129" s="0" t="s">
        <v>2390</v>
      </c>
      <c r="AG129" s="0" t="s">
        <v>205</v>
      </c>
      <c r="AH129" s="0" t="s">
        <v>353</v>
      </c>
      <c r="AI129" s="0" t="s">
        <v>2391</v>
      </c>
      <c r="AJ129" s="0" t="s">
        <v>395</v>
      </c>
      <c r="AK129" s="0" t="s">
        <v>205</v>
      </c>
      <c r="AL129" s="0" t="s">
        <v>205</v>
      </c>
      <c r="AM129" s="0" t="s">
        <v>205</v>
      </c>
      <c r="AN129" s="0" t="s">
        <v>2392</v>
      </c>
      <c r="AO129" s="0" t="s">
        <v>2392</v>
      </c>
      <c r="AP129" s="0" t="s">
        <v>205</v>
      </c>
      <c r="AQ129" s="0" t="s">
        <v>312</v>
      </c>
      <c r="AR129" s="0" t="s">
        <v>205</v>
      </c>
      <c r="AS129" s="0" t="s">
        <v>205</v>
      </c>
      <c r="AT129" s="0" t="s">
        <v>303</v>
      </c>
      <c r="AU129" s="0" t="s">
        <v>201</v>
      </c>
      <c r="AV129" s="0" t="s">
        <v>312</v>
      </c>
      <c r="AW129" s="0" t="s">
        <v>398</v>
      </c>
      <c r="AX129" s="0" t="s">
        <v>398</v>
      </c>
      <c r="AY129" s="0" t="s">
        <v>333</v>
      </c>
      <c r="AZ129" s="0" t="s">
        <v>2271</v>
      </c>
      <c r="BA129" s="0" t="s">
        <v>2393</v>
      </c>
      <c r="BB129" s="0" t="s">
        <v>2393</v>
      </c>
    </row>
    <row r="130" customFormat="false" ht="12.75" hidden="false" customHeight="false" outlineLevel="0" collapsed="false">
      <c r="C130" s="673" t="s">
        <v>417</v>
      </c>
      <c r="D130" s="673" t="s">
        <v>395</v>
      </c>
      <c r="E130" s="673" t="s">
        <v>395</v>
      </c>
      <c r="F130" s="673" t="s">
        <v>395</v>
      </c>
      <c r="G130" s="0" t="s">
        <v>419</v>
      </c>
      <c r="H130" s="0" t="s">
        <v>417</v>
      </c>
      <c r="I130" s="0" t="s">
        <v>304</v>
      </c>
      <c r="J130" s="0" t="s">
        <v>378</v>
      </c>
      <c r="K130" s="0" t="s">
        <v>2385</v>
      </c>
      <c r="L130" s="0" t="s">
        <v>329</v>
      </c>
      <c r="M130" s="210" t="s">
        <v>419</v>
      </c>
      <c r="N130" s="0" t="s">
        <v>395</v>
      </c>
      <c r="O130" s="0" t="s">
        <v>395</v>
      </c>
      <c r="P130" s="0" t="s">
        <v>2382</v>
      </c>
      <c r="Q130" s="0" t="s">
        <v>329</v>
      </c>
      <c r="R130" s="0" t="s">
        <v>433</v>
      </c>
      <c r="S130" s="0" t="s">
        <v>398</v>
      </c>
      <c r="T130" s="0" t="s">
        <v>2385</v>
      </c>
      <c r="U130" s="0" t="s">
        <v>395</v>
      </c>
      <c r="V130" s="0" t="s">
        <v>2385</v>
      </c>
      <c r="W130" s="0" t="s">
        <v>417</v>
      </c>
      <c r="X130" s="0" t="s">
        <v>426</v>
      </c>
      <c r="Y130" s="0" t="s">
        <v>2394</v>
      </c>
      <c r="Z130" s="0" t="s">
        <v>2385</v>
      </c>
      <c r="AA130" s="0" t="s">
        <v>329</v>
      </c>
      <c r="AB130" s="0" t="s">
        <v>414</v>
      </c>
      <c r="AC130" s="0" t="s">
        <v>329</v>
      </c>
      <c r="AD130" s="0" t="s">
        <v>329</v>
      </c>
      <c r="AE130" s="0" t="s">
        <v>414</v>
      </c>
      <c r="AF130" s="0" t="s">
        <v>414</v>
      </c>
      <c r="AG130" s="0" t="s">
        <v>378</v>
      </c>
      <c r="AH130" s="0" t="s">
        <v>378</v>
      </c>
      <c r="AI130" s="0" t="s">
        <v>378</v>
      </c>
      <c r="AJ130" s="0" t="s">
        <v>422</v>
      </c>
      <c r="AK130" s="0" t="s">
        <v>378</v>
      </c>
      <c r="AL130" s="0" t="s">
        <v>417</v>
      </c>
      <c r="AM130" s="0" t="s">
        <v>378</v>
      </c>
      <c r="AN130" s="0" t="s">
        <v>333</v>
      </c>
      <c r="AO130" s="0" t="s">
        <v>2383</v>
      </c>
      <c r="AP130" s="0" t="s">
        <v>2382</v>
      </c>
      <c r="AQ130" s="0" t="s">
        <v>205</v>
      </c>
      <c r="AR130" s="0" t="s">
        <v>2382</v>
      </c>
      <c r="AS130" s="0" t="s">
        <v>328</v>
      </c>
      <c r="AT130" s="0" t="s">
        <v>323</v>
      </c>
      <c r="AU130" s="0" t="s">
        <v>329</v>
      </c>
      <c r="AV130" s="0" t="s">
        <v>205</v>
      </c>
      <c r="AW130" s="0" t="s">
        <v>426</v>
      </c>
      <c r="AX130" s="0" t="s">
        <v>426</v>
      </c>
      <c r="AY130" s="0" t="s">
        <v>395</v>
      </c>
      <c r="AZ130" s="0" t="s">
        <v>2392</v>
      </c>
      <c r="BA130" s="0" t="s">
        <v>2395</v>
      </c>
      <c r="BB130" s="0" t="s">
        <v>2395</v>
      </c>
    </row>
    <row r="131" customFormat="false" ht="12.75" hidden="false" customHeight="false" outlineLevel="0" collapsed="false">
      <c r="C131" s="673" t="s">
        <v>426</v>
      </c>
      <c r="D131" s="673" t="s">
        <v>419</v>
      </c>
      <c r="E131" s="673" t="s">
        <v>419</v>
      </c>
      <c r="F131" s="673" t="s">
        <v>419</v>
      </c>
      <c r="G131" s="0" t="s">
        <v>433</v>
      </c>
      <c r="H131" s="0" t="s">
        <v>426</v>
      </c>
      <c r="I131" s="0" t="s">
        <v>426</v>
      </c>
      <c r="J131" s="0" t="s">
        <v>417</v>
      </c>
      <c r="K131" s="0" t="s">
        <v>395</v>
      </c>
      <c r="L131" s="0" t="s">
        <v>1090</v>
      </c>
      <c r="M131" s="210" t="s">
        <v>426</v>
      </c>
      <c r="N131" s="0" t="s">
        <v>1090</v>
      </c>
      <c r="O131" s="0" t="s">
        <v>426</v>
      </c>
      <c r="P131" s="0" t="s">
        <v>433</v>
      </c>
      <c r="Q131" s="0" t="s">
        <v>1090</v>
      </c>
      <c r="R131" s="0" t="s">
        <v>202</v>
      </c>
      <c r="S131" s="0" t="s">
        <v>433</v>
      </c>
      <c r="T131" s="0" t="s">
        <v>395</v>
      </c>
      <c r="U131" s="0" t="s">
        <v>329</v>
      </c>
      <c r="V131" s="0" t="s">
        <v>433</v>
      </c>
      <c r="W131" s="0" t="s">
        <v>426</v>
      </c>
      <c r="X131" s="0" t="s">
        <v>437</v>
      </c>
      <c r="Y131" s="0" t="s">
        <v>419</v>
      </c>
      <c r="Z131" s="0" t="s">
        <v>329</v>
      </c>
      <c r="AA131" s="0" t="s">
        <v>437</v>
      </c>
      <c r="AB131" s="0" t="s">
        <v>437</v>
      </c>
      <c r="AC131" s="0" t="s">
        <v>437</v>
      </c>
      <c r="AD131" s="0" t="s">
        <v>437</v>
      </c>
      <c r="AE131" s="0" t="s">
        <v>437</v>
      </c>
      <c r="AF131" s="0" t="s">
        <v>437</v>
      </c>
      <c r="AG131" s="0" t="s">
        <v>417</v>
      </c>
      <c r="AH131" s="0" t="s">
        <v>417</v>
      </c>
      <c r="AI131" s="0" t="s">
        <v>417</v>
      </c>
      <c r="AJ131" s="0" t="s">
        <v>417</v>
      </c>
      <c r="AK131" s="0" t="s">
        <v>417</v>
      </c>
      <c r="AL131" s="0" t="s">
        <v>422</v>
      </c>
      <c r="AM131" s="0" t="s">
        <v>417</v>
      </c>
      <c r="AN131" s="0" t="s">
        <v>378</v>
      </c>
      <c r="AO131" s="0" t="s">
        <v>395</v>
      </c>
      <c r="AP131" s="0" t="s">
        <v>329</v>
      </c>
      <c r="AQ131" s="0" t="s">
        <v>329</v>
      </c>
      <c r="AR131" s="0" t="s">
        <v>329</v>
      </c>
      <c r="AS131" s="0" t="s">
        <v>329</v>
      </c>
      <c r="AT131" s="0" t="s">
        <v>201</v>
      </c>
      <c r="AU131" s="0" t="s">
        <v>417</v>
      </c>
      <c r="AV131" s="0" t="s">
        <v>329</v>
      </c>
      <c r="AW131" s="0" t="s">
        <v>202</v>
      </c>
      <c r="AX131" s="0" t="s">
        <v>202</v>
      </c>
      <c r="AY131" s="0" t="s">
        <v>398</v>
      </c>
      <c r="AZ131" s="0" t="s">
        <v>1090</v>
      </c>
      <c r="BA131" s="0" t="s">
        <v>433</v>
      </c>
      <c r="BB131" s="0" t="s">
        <v>433</v>
      </c>
    </row>
    <row r="132" customFormat="false" ht="12.75" hidden="false" customHeight="false" outlineLevel="0" collapsed="false">
      <c r="C132" s="673"/>
      <c r="D132" s="673"/>
      <c r="E132" s="673"/>
      <c r="F132" s="673"/>
      <c r="M132" s="210"/>
    </row>
    <row r="133" customFormat="false" ht="12.75" hidden="false" customHeight="false" outlineLevel="0" collapsed="false">
      <c r="C133" s="673" t="s">
        <v>2384</v>
      </c>
      <c r="D133" s="673" t="s">
        <v>320</v>
      </c>
      <c r="E133" s="673" t="s">
        <v>320</v>
      </c>
      <c r="F133" s="673" t="s">
        <v>2396</v>
      </c>
      <c r="G133" s="0" t="s">
        <v>254</v>
      </c>
      <c r="H133" s="0" t="s">
        <v>207</v>
      </c>
      <c r="I133" s="0" t="s">
        <v>2397</v>
      </c>
      <c r="J133" s="0" t="s">
        <v>299</v>
      </c>
      <c r="K133" s="0" t="s">
        <v>208</v>
      </c>
      <c r="L133" s="0" t="s">
        <v>2379</v>
      </c>
      <c r="M133" s="210" t="s">
        <v>287</v>
      </c>
      <c r="N133" s="0" t="s">
        <v>278</v>
      </c>
      <c r="O133" s="0" t="s">
        <v>218</v>
      </c>
      <c r="P133" s="0" t="s">
        <v>2398</v>
      </c>
      <c r="Q133" s="0" t="s">
        <v>2399</v>
      </c>
      <c r="R133" s="0" t="s">
        <v>2396</v>
      </c>
      <c r="S133" s="0" t="s">
        <v>2271</v>
      </c>
      <c r="T133" s="0" t="s">
        <v>2396</v>
      </c>
      <c r="U133" s="0" t="s">
        <v>2396</v>
      </c>
      <c r="V133" s="0" t="s">
        <v>2396</v>
      </c>
      <c r="W133" s="0" t="s">
        <v>2381</v>
      </c>
      <c r="X133" s="0" t="s">
        <v>2381</v>
      </c>
      <c r="Y133" s="0" t="s">
        <v>278</v>
      </c>
      <c r="Z133" s="0" t="s">
        <v>2387</v>
      </c>
      <c r="AA133" s="0" t="s">
        <v>2396</v>
      </c>
      <c r="AB133" s="0" t="s">
        <v>2396</v>
      </c>
      <c r="AC133" s="0" t="s">
        <v>2396</v>
      </c>
      <c r="AD133" s="0" t="s">
        <v>2396</v>
      </c>
      <c r="AE133" s="0" t="s">
        <v>2396</v>
      </c>
      <c r="AF133" s="0" t="s">
        <v>2396</v>
      </c>
      <c r="AG133" s="0" t="s">
        <v>320</v>
      </c>
      <c r="AH133" s="0" t="s">
        <v>320</v>
      </c>
      <c r="AI133" s="0" t="s">
        <v>320</v>
      </c>
      <c r="AJ133" s="0" t="s">
        <v>320</v>
      </c>
      <c r="AK133" s="0" t="s">
        <v>208</v>
      </c>
      <c r="AL133" s="0" t="s">
        <v>320</v>
      </c>
      <c r="AM133" s="0" t="s">
        <v>299</v>
      </c>
      <c r="AN133" s="0" t="s">
        <v>2400</v>
      </c>
      <c r="AO133" s="0" t="s">
        <v>2400</v>
      </c>
      <c r="AP133" s="0" t="s">
        <v>287</v>
      </c>
      <c r="AQ133" s="0" t="s">
        <v>287</v>
      </c>
      <c r="AR133" s="0" t="s">
        <v>287</v>
      </c>
      <c r="AS133" s="0" t="s">
        <v>287</v>
      </c>
      <c r="AT133" s="0" t="s">
        <v>320</v>
      </c>
      <c r="AU133" s="0" t="s">
        <v>320</v>
      </c>
      <c r="AV133" s="0" t="s">
        <v>266</v>
      </c>
      <c r="AW133" s="0" t="s">
        <v>266</v>
      </c>
      <c r="AX133" s="0" t="s">
        <v>266</v>
      </c>
      <c r="AY133" s="0" t="s">
        <v>268</v>
      </c>
      <c r="AZ133" s="0" t="s">
        <v>2400</v>
      </c>
      <c r="BA133" s="0" t="s">
        <v>268</v>
      </c>
      <c r="BB133" s="0" t="s">
        <v>2401</v>
      </c>
    </row>
    <row r="134" customFormat="false" ht="12.75" hidden="false" customHeight="false" outlineLevel="0" collapsed="false">
      <c r="C134" s="673" t="s">
        <v>207</v>
      </c>
      <c r="D134" s="673" t="s">
        <v>207</v>
      </c>
      <c r="E134" s="673" t="s">
        <v>2402</v>
      </c>
      <c r="F134" s="673" t="s">
        <v>320</v>
      </c>
      <c r="G134" s="0" t="s">
        <v>2401</v>
      </c>
      <c r="H134" s="210" t="s">
        <v>2403</v>
      </c>
      <c r="I134" s="0" t="s">
        <v>2271</v>
      </c>
      <c r="J134" s="0" t="s">
        <v>320</v>
      </c>
      <c r="K134" s="0" t="s">
        <v>210</v>
      </c>
      <c r="L134" s="0" t="s">
        <v>207</v>
      </c>
      <c r="M134" s="210" t="s">
        <v>207</v>
      </c>
      <c r="N134" s="0" t="s">
        <v>207</v>
      </c>
      <c r="O134" s="0" t="s">
        <v>207</v>
      </c>
      <c r="P134" s="0" t="s">
        <v>320</v>
      </c>
      <c r="Q134" s="0" t="s">
        <v>2397</v>
      </c>
      <c r="R134" s="0" t="s">
        <v>207</v>
      </c>
      <c r="S134" s="0" t="s">
        <v>207</v>
      </c>
      <c r="T134" s="0" t="s">
        <v>208</v>
      </c>
      <c r="U134" s="0" t="s">
        <v>208</v>
      </c>
      <c r="V134" s="0" t="s">
        <v>208</v>
      </c>
      <c r="W134" s="0" t="s">
        <v>320</v>
      </c>
      <c r="X134" s="0" t="s">
        <v>299</v>
      </c>
      <c r="Y134" s="0" t="s">
        <v>2401</v>
      </c>
      <c r="Z134" s="0" t="s">
        <v>207</v>
      </c>
      <c r="AA134" s="0" t="s">
        <v>320</v>
      </c>
      <c r="AB134" s="0" t="s">
        <v>320</v>
      </c>
      <c r="AC134" s="0" t="s">
        <v>320</v>
      </c>
      <c r="AD134" s="0" t="s">
        <v>320</v>
      </c>
      <c r="AE134" s="0" t="s">
        <v>2404</v>
      </c>
      <c r="AF134" s="0" t="s">
        <v>2404</v>
      </c>
      <c r="AG134" s="0" t="s">
        <v>2387</v>
      </c>
      <c r="AH134" s="0" t="s">
        <v>2387</v>
      </c>
      <c r="AI134" s="0" t="s">
        <v>2387</v>
      </c>
      <c r="AJ134" s="0" t="s">
        <v>2387</v>
      </c>
      <c r="AK134" s="0" t="s">
        <v>320</v>
      </c>
      <c r="AL134" s="0" t="s">
        <v>2387</v>
      </c>
      <c r="AM134" s="0" t="s">
        <v>320</v>
      </c>
      <c r="AN134" s="0" t="s">
        <v>2379</v>
      </c>
      <c r="AO134" s="0" t="s">
        <v>2379</v>
      </c>
      <c r="AP134" s="0" t="s">
        <v>207</v>
      </c>
      <c r="AQ134" s="0" t="s">
        <v>207</v>
      </c>
      <c r="AR134" s="0" t="s">
        <v>2387</v>
      </c>
      <c r="AS134" s="0" t="s">
        <v>207</v>
      </c>
      <c r="AT134" s="0" t="s">
        <v>207</v>
      </c>
      <c r="AU134" s="0" t="s">
        <v>207</v>
      </c>
      <c r="AV134" s="0" t="s">
        <v>207</v>
      </c>
      <c r="AW134" s="0" t="s">
        <v>207</v>
      </c>
      <c r="AX134" s="0" t="s">
        <v>207</v>
      </c>
      <c r="AY134" s="0" t="s">
        <v>2396</v>
      </c>
      <c r="AZ134" s="0" t="s">
        <v>320</v>
      </c>
      <c r="BA134" s="0" t="s">
        <v>2401</v>
      </c>
      <c r="BB134" s="0" t="s">
        <v>2271</v>
      </c>
    </row>
    <row r="135" customFormat="false" ht="12.75" hidden="false" customHeight="false" outlineLevel="0" collapsed="false">
      <c r="C135" s="673" t="s">
        <v>209</v>
      </c>
      <c r="D135" s="673" t="s">
        <v>288</v>
      </c>
      <c r="E135" s="673" t="s">
        <v>207</v>
      </c>
      <c r="F135" s="673" t="s">
        <v>207</v>
      </c>
      <c r="G135" s="0" t="s">
        <v>207</v>
      </c>
      <c r="H135" s="210" t="s">
        <v>288</v>
      </c>
      <c r="I135" s="0" t="s">
        <v>2405</v>
      </c>
      <c r="J135" s="0" t="s">
        <v>2387</v>
      </c>
      <c r="K135" s="0" t="s">
        <v>207</v>
      </c>
      <c r="L135" s="0" t="s">
        <v>2383</v>
      </c>
      <c r="M135" s="210" t="s">
        <v>306</v>
      </c>
      <c r="N135" s="0" t="s">
        <v>304</v>
      </c>
      <c r="O135" s="0" t="s">
        <v>2406</v>
      </c>
      <c r="P135" s="0" t="s">
        <v>207</v>
      </c>
      <c r="Q135" s="0" t="s">
        <v>2271</v>
      </c>
      <c r="R135" s="0" t="s">
        <v>209</v>
      </c>
      <c r="S135" s="0" t="s">
        <v>306</v>
      </c>
      <c r="T135" s="0" t="s">
        <v>320</v>
      </c>
      <c r="U135" s="0" t="s">
        <v>320</v>
      </c>
      <c r="V135" s="0" t="s">
        <v>320</v>
      </c>
      <c r="W135" s="0" t="s">
        <v>207</v>
      </c>
      <c r="X135" s="0" t="s">
        <v>320</v>
      </c>
      <c r="Y135" s="0" t="s">
        <v>2405</v>
      </c>
      <c r="Z135" s="0" t="s">
        <v>2407</v>
      </c>
      <c r="AA135" s="0" t="s">
        <v>207</v>
      </c>
      <c r="AB135" s="0" t="s">
        <v>207</v>
      </c>
      <c r="AC135" s="0" t="s">
        <v>207</v>
      </c>
      <c r="AD135" s="0" t="s">
        <v>207</v>
      </c>
      <c r="AE135" s="0" t="s">
        <v>207</v>
      </c>
      <c r="AF135" s="0" t="s">
        <v>207</v>
      </c>
      <c r="AG135" s="0" t="s">
        <v>207</v>
      </c>
      <c r="AH135" s="0" t="s">
        <v>207</v>
      </c>
      <c r="AI135" s="0" t="s">
        <v>207</v>
      </c>
      <c r="AJ135" s="0" t="s">
        <v>207</v>
      </c>
      <c r="AK135" s="0" t="s">
        <v>210</v>
      </c>
      <c r="AL135" s="0" t="s">
        <v>207</v>
      </c>
      <c r="AM135" s="0" t="s">
        <v>2387</v>
      </c>
      <c r="AN135" s="0" t="s">
        <v>287</v>
      </c>
      <c r="AO135" s="0" t="s">
        <v>287</v>
      </c>
      <c r="AP135" s="0" t="s">
        <v>282</v>
      </c>
      <c r="AQ135" s="0" t="s">
        <v>282</v>
      </c>
      <c r="AR135" s="0" t="s">
        <v>207</v>
      </c>
      <c r="AS135" s="0" t="s">
        <v>282</v>
      </c>
      <c r="AT135" s="0" t="s">
        <v>2406</v>
      </c>
      <c r="AU135" s="0" t="s">
        <v>2406</v>
      </c>
      <c r="AV135" s="0" t="s">
        <v>273</v>
      </c>
      <c r="AW135" s="0" t="s">
        <v>2406</v>
      </c>
      <c r="AX135" s="0" t="s">
        <v>2406</v>
      </c>
      <c r="AY135" s="0" t="s">
        <v>2271</v>
      </c>
      <c r="AZ135" s="0" t="s">
        <v>207</v>
      </c>
      <c r="BA135" s="0" t="s">
        <v>2271</v>
      </c>
      <c r="BB135" s="0" t="s">
        <v>207</v>
      </c>
    </row>
    <row r="136" customFormat="false" ht="12.75" hidden="false" customHeight="false" outlineLevel="0" collapsed="false">
      <c r="C136" s="673" t="s">
        <v>304</v>
      </c>
      <c r="D136" s="673" t="s">
        <v>2408</v>
      </c>
      <c r="E136" s="673" t="s">
        <v>2408</v>
      </c>
      <c r="F136" s="673" t="s">
        <v>288</v>
      </c>
      <c r="G136" s="0" t="s">
        <v>2409</v>
      </c>
      <c r="H136" s="210" t="s">
        <v>306</v>
      </c>
      <c r="I136" s="0" t="s">
        <v>207</v>
      </c>
      <c r="J136" s="0" t="s">
        <v>207</v>
      </c>
      <c r="K136" s="0" t="s">
        <v>209</v>
      </c>
      <c r="L136" s="0" t="s">
        <v>201</v>
      </c>
      <c r="M136" s="210" t="s">
        <v>323</v>
      </c>
      <c r="N136" s="0" t="s">
        <v>2410</v>
      </c>
      <c r="O136" s="0" t="s">
        <v>2411</v>
      </c>
      <c r="P136" s="0" t="s">
        <v>304</v>
      </c>
      <c r="Q136" s="0" t="s">
        <v>2405</v>
      </c>
      <c r="R136" s="0" t="s">
        <v>323</v>
      </c>
      <c r="S136" s="0" t="s">
        <v>323</v>
      </c>
      <c r="T136" s="0" t="s">
        <v>2387</v>
      </c>
      <c r="U136" s="0" t="s">
        <v>2387</v>
      </c>
      <c r="V136" s="0" t="s">
        <v>207</v>
      </c>
      <c r="W136" s="0" t="s">
        <v>2385</v>
      </c>
      <c r="X136" s="0" t="s">
        <v>207</v>
      </c>
      <c r="Y136" s="0" t="s">
        <v>207</v>
      </c>
      <c r="Z136" s="0" t="s">
        <v>282</v>
      </c>
      <c r="AA136" s="0" t="s">
        <v>304</v>
      </c>
      <c r="AB136" s="0" t="s">
        <v>304</v>
      </c>
      <c r="AC136" s="0" t="s">
        <v>304</v>
      </c>
      <c r="AD136" s="0" t="s">
        <v>304</v>
      </c>
      <c r="AE136" s="0" t="s">
        <v>209</v>
      </c>
      <c r="AF136" s="0" t="s">
        <v>209</v>
      </c>
      <c r="AG136" s="0" t="s">
        <v>288</v>
      </c>
      <c r="AH136" s="0" t="s">
        <v>288</v>
      </c>
      <c r="AI136" s="0" t="s">
        <v>288</v>
      </c>
      <c r="AJ136" s="0" t="s">
        <v>288</v>
      </c>
      <c r="AK136" s="0" t="s">
        <v>2387</v>
      </c>
      <c r="AL136" s="0" t="s">
        <v>288</v>
      </c>
      <c r="AM136" s="0" t="s">
        <v>207</v>
      </c>
      <c r="AN136" s="0" t="s">
        <v>2271</v>
      </c>
      <c r="AO136" s="0" t="s">
        <v>2271</v>
      </c>
      <c r="AP136" s="0" t="s">
        <v>306</v>
      </c>
      <c r="AQ136" s="0" t="s">
        <v>306</v>
      </c>
      <c r="AR136" s="0" t="s">
        <v>282</v>
      </c>
      <c r="AS136" s="0" t="s">
        <v>306</v>
      </c>
      <c r="AT136" s="0" t="s">
        <v>306</v>
      </c>
      <c r="AU136" s="0" t="s">
        <v>288</v>
      </c>
      <c r="AV136" s="0" t="s">
        <v>2407</v>
      </c>
      <c r="AW136" s="0" t="s">
        <v>404</v>
      </c>
      <c r="AX136" s="0" t="s">
        <v>404</v>
      </c>
      <c r="AY136" s="0" t="s">
        <v>207</v>
      </c>
      <c r="AZ136" s="0" t="s">
        <v>2383</v>
      </c>
      <c r="BA136" s="0" t="s">
        <v>207</v>
      </c>
      <c r="BB136" s="0" t="s">
        <v>208</v>
      </c>
    </row>
    <row r="137" customFormat="false" ht="12.75" hidden="false" customHeight="false" outlineLevel="0" collapsed="false">
      <c r="C137" s="673" t="s">
        <v>306</v>
      </c>
      <c r="D137" s="673" t="s">
        <v>209</v>
      </c>
      <c r="E137" s="673" t="s">
        <v>209</v>
      </c>
      <c r="F137" s="673" t="s">
        <v>2408</v>
      </c>
      <c r="G137" s="0" t="s">
        <v>209</v>
      </c>
      <c r="H137" s="210" t="s">
        <v>323</v>
      </c>
      <c r="I137" s="0" t="s">
        <v>329</v>
      </c>
      <c r="J137" s="0" t="s">
        <v>288</v>
      </c>
      <c r="K137" s="0" t="s">
        <v>2382</v>
      </c>
      <c r="L137" s="0" t="s">
        <v>1090</v>
      </c>
      <c r="M137" s="210" t="s">
        <v>201</v>
      </c>
      <c r="N137" s="0" t="s">
        <v>328</v>
      </c>
      <c r="O137" s="0" t="s">
        <v>306</v>
      </c>
      <c r="P137" s="0" t="s">
        <v>378</v>
      </c>
      <c r="Q137" s="0" t="s">
        <v>207</v>
      </c>
      <c r="R137" s="0" t="s">
        <v>2385</v>
      </c>
      <c r="S137" s="0" t="s">
        <v>407</v>
      </c>
      <c r="T137" s="0" t="s">
        <v>207</v>
      </c>
      <c r="U137" s="0" t="s">
        <v>207</v>
      </c>
      <c r="V137" s="0" t="s">
        <v>209</v>
      </c>
      <c r="W137" s="0" t="s">
        <v>407</v>
      </c>
      <c r="X137" s="0" t="s">
        <v>2385</v>
      </c>
      <c r="Y137" s="0" t="s">
        <v>288</v>
      </c>
      <c r="Z137" s="0" t="s">
        <v>2412</v>
      </c>
      <c r="AA137" s="0" t="s">
        <v>398</v>
      </c>
      <c r="AB137" s="0" t="s">
        <v>398</v>
      </c>
      <c r="AC137" s="0" t="s">
        <v>306</v>
      </c>
      <c r="AD137" s="0" t="s">
        <v>2389</v>
      </c>
      <c r="AE137" s="0" t="s">
        <v>398</v>
      </c>
      <c r="AF137" s="0" t="s">
        <v>398</v>
      </c>
      <c r="AG137" s="0" t="s">
        <v>209</v>
      </c>
      <c r="AH137" s="0" t="s">
        <v>209</v>
      </c>
      <c r="AI137" s="0" t="s">
        <v>209</v>
      </c>
      <c r="AJ137" s="0" t="s">
        <v>209</v>
      </c>
      <c r="AK137" s="0" t="s">
        <v>207</v>
      </c>
      <c r="AL137" s="0" t="s">
        <v>209</v>
      </c>
      <c r="AM137" s="0" t="s">
        <v>288</v>
      </c>
      <c r="AN137" s="0" t="s">
        <v>207</v>
      </c>
      <c r="AO137" s="0" t="s">
        <v>207</v>
      </c>
      <c r="AP137" s="0" t="s">
        <v>203</v>
      </c>
      <c r="AQ137" s="0" t="s">
        <v>203</v>
      </c>
      <c r="AR137" s="0" t="s">
        <v>306</v>
      </c>
      <c r="AS137" s="0" t="s">
        <v>203</v>
      </c>
      <c r="AT137" s="0" t="s">
        <v>2385</v>
      </c>
      <c r="AU137" s="0" t="s">
        <v>306</v>
      </c>
      <c r="AV137" s="0" t="s">
        <v>276</v>
      </c>
      <c r="AW137" s="0" t="s">
        <v>407</v>
      </c>
      <c r="AX137" s="0" t="s">
        <v>407</v>
      </c>
      <c r="AY137" s="0" t="s">
        <v>208</v>
      </c>
      <c r="AZ137" s="0" t="s">
        <v>378</v>
      </c>
      <c r="BA137" s="0" t="s">
        <v>208</v>
      </c>
      <c r="BB137" s="0" t="s">
        <v>2413</v>
      </c>
    </row>
    <row r="138" customFormat="false" ht="12.75" hidden="false" customHeight="false" outlineLevel="0" collapsed="false">
      <c r="C138" s="657" t="s">
        <v>2385</v>
      </c>
      <c r="D138" s="673" t="s">
        <v>2414</v>
      </c>
      <c r="E138" s="673" t="s">
        <v>2414</v>
      </c>
      <c r="F138" s="673" t="s">
        <v>209</v>
      </c>
      <c r="G138" s="0" t="s">
        <v>304</v>
      </c>
      <c r="H138" s="210" t="s">
        <v>2385</v>
      </c>
      <c r="I138" s="0" t="s">
        <v>411</v>
      </c>
      <c r="J138" s="0" t="s">
        <v>304</v>
      </c>
      <c r="K138" s="0" t="s">
        <v>329</v>
      </c>
      <c r="L138" s="0" t="s">
        <v>1090</v>
      </c>
      <c r="M138" s="210" t="s">
        <v>393</v>
      </c>
      <c r="N138" s="0" t="s">
        <v>1090</v>
      </c>
      <c r="O138" s="0" t="s">
        <v>404</v>
      </c>
      <c r="P138" s="0" t="s">
        <v>2386</v>
      </c>
      <c r="Q138" s="0" t="s">
        <v>2409</v>
      </c>
      <c r="R138" s="0" t="s">
        <v>398</v>
      </c>
      <c r="S138" s="0" t="s">
        <v>417</v>
      </c>
      <c r="T138" s="0" t="s">
        <v>209</v>
      </c>
      <c r="U138" s="0" t="s">
        <v>209</v>
      </c>
      <c r="V138" s="0" t="s">
        <v>333</v>
      </c>
      <c r="W138" s="0" t="s">
        <v>2415</v>
      </c>
      <c r="X138" s="0" t="s">
        <v>367</v>
      </c>
      <c r="Y138" s="0" t="s">
        <v>2416</v>
      </c>
      <c r="Z138" s="0" t="s">
        <v>328</v>
      </c>
      <c r="AA138" s="0" t="s">
        <v>417</v>
      </c>
      <c r="AB138" s="0" t="s">
        <v>417</v>
      </c>
      <c r="AC138" s="0" t="s">
        <v>398</v>
      </c>
      <c r="AD138" s="0" t="s">
        <v>398</v>
      </c>
      <c r="AE138" s="0" t="s">
        <v>404</v>
      </c>
      <c r="AF138" s="0" t="s">
        <v>269</v>
      </c>
      <c r="AG138" s="0" t="s">
        <v>304</v>
      </c>
      <c r="AH138" s="0" t="s">
        <v>2385</v>
      </c>
      <c r="AI138" s="0" t="s">
        <v>304</v>
      </c>
      <c r="AJ138" s="0" t="s">
        <v>304</v>
      </c>
      <c r="AK138" s="0" t="s">
        <v>288</v>
      </c>
      <c r="AL138" s="0" t="s">
        <v>304</v>
      </c>
      <c r="AM138" s="0" t="s">
        <v>209</v>
      </c>
      <c r="AN138" s="0" t="s">
        <v>2403</v>
      </c>
      <c r="AO138" s="0" t="s">
        <v>2403</v>
      </c>
      <c r="AP138" s="0" t="s">
        <v>414</v>
      </c>
      <c r="AQ138" s="0" t="s">
        <v>414</v>
      </c>
      <c r="AR138" s="0" t="s">
        <v>203</v>
      </c>
      <c r="AS138" s="0" t="s">
        <v>414</v>
      </c>
      <c r="AT138" s="0" t="s">
        <v>407</v>
      </c>
      <c r="AU138" s="0" t="s">
        <v>2382</v>
      </c>
      <c r="AV138" s="0" t="s">
        <v>304</v>
      </c>
      <c r="AW138" s="0" t="s">
        <v>414</v>
      </c>
      <c r="AX138" s="0" t="s">
        <v>414</v>
      </c>
      <c r="AY138" s="0" t="s">
        <v>2417</v>
      </c>
      <c r="AZ138" s="0" t="s">
        <v>329</v>
      </c>
      <c r="BA138" s="0" t="s">
        <v>2418</v>
      </c>
      <c r="BB138" s="0" t="s">
        <v>2418</v>
      </c>
    </row>
    <row r="139" customFormat="false" ht="12.75" hidden="false" customHeight="false" outlineLevel="0" collapsed="false">
      <c r="C139" s="673" t="s">
        <v>2382</v>
      </c>
      <c r="D139" s="673" t="s">
        <v>329</v>
      </c>
      <c r="E139" s="673" t="s">
        <v>329</v>
      </c>
      <c r="F139" s="673" t="s">
        <v>329</v>
      </c>
      <c r="G139" s="0" t="s">
        <v>395</v>
      </c>
      <c r="H139" s="210" t="s">
        <v>407</v>
      </c>
      <c r="I139" s="0" t="s">
        <v>419</v>
      </c>
      <c r="J139" s="0" t="s">
        <v>398</v>
      </c>
      <c r="K139" s="0" t="s">
        <v>398</v>
      </c>
      <c r="L139" s="0" t="s">
        <v>419</v>
      </c>
      <c r="M139" s="210" t="s">
        <v>398</v>
      </c>
      <c r="N139" s="0" t="s">
        <v>1090</v>
      </c>
      <c r="O139" s="0" t="s">
        <v>417</v>
      </c>
      <c r="P139" s="0" t="s">
        <v>395</v>
      </c>
      <c r="Q139" s="0" t="s">
        <v>1090</v>
      </c>
      <c r="R139" s="0" t="s">
        <v>417</v>
      </c>
      <c r="S139" s="0" t="s">
        <v>2419</v>
      </c>
      <c r="T139" s="0" t="s">
        <v>2382</v>
      </c>
      <c r="U139" s="0" t="s">
        <v>2382</v>
      </c>
      <c r="V139" s="0" t="s">
        <v>2382</v>
      </c>
      <c r="W139" s="0" t="s">
        <v>2420</v>
      </c>
      <c r="X139" s="0" t="s">
        <v>407</v>
      </c>
      <c r="Y139" s="0" t="s">
        <v>2394</v>
      </c>
      <c r="Z139" s="0" t="s">
        <v>333</v>
      </c>
      <c r="AA139" s="0" t="s">
        <v>426</v>
      </c>
      <c r="AB139" s="0" t="s">
        <v>426</v>
      </c>
      <c r="AC139" s="0" t="s">
        <v>417</v>
      </c>
      <c r="AD139" s="0" t="s">
        <v>417</v>
      </c>
      <c r="AE139" s="0" t="s">
        <v>407</v>
      </c>
      <c r="AF139" s="0" t="s">
        <v>407</v>
      </c>
      <c r="AG139" s="0" t="s">
        <v>398</v>
      </c>
      <c r="AH139" s="0" t="s">
        <v>398</v>
      </c>
      <c r="AI139" s="0" t="s">
        <v>398</v>
      </c>
      <c r="AJ139" s="0" t="s">
        <v>398</v>
      </c>
      <c r="AK139" s="0" t="s">
        <v>209</v>
      </c>
      <c r="AL139" s="0" t="s">
        <v>398</v>
      </c>
      <c r="AM139" s="0" t="s">
        <v>2382</v>
      </c>
      <c r="AN139" s="0" t="s">
        <v>2421</v>
      </c>
      <c r="AO139" s="0" t="s">
        <v>2421</v>
      </c>
      <c r="AP139" s="0" t="s">
        <v>417</v>
      </c>
      <c r="AQ139" s="0" t="s">
        <v>417</v>
      </c>
      <c r="AR139" s="0" t="s">
        <v>390</v>
      </c>
      <c r="AS139" s="0" t="s">
        <v>417</v>
      </c>
      <c r="AT139" s="0" t="s">
        <v>417</v>
      </c>
      <c r="AU139" s="0" t="s">
        <v>393</v>
      </c>
      <c r="AV139" s="0" t="s">
        <v>306</v>
      </c>
      <c r="AW139" s="0" t="s">
        <v>417</v>
      </c>
      <c r="AX139" s="0" t="s">
        <v>417</v>
      </c>
      <c r="AY139" s="0" t="s">
        <v>329</v>
      </c>
      <c r="AZ139" s="0" t="s">
        <v>1090</v>
      </c>
      <c r="BA139" s="0" t="s">
        <v>378</v>
      </c>
      <c r="BB139" s="0" t="s">
        <v>378</v>
      </c>
    </row>
    <row r="140" customFormat="false" ht="12.75" hidden="false" customHeight="false" outlineLevel="0" collapsed="false">
      <c r="C140" s="657" t="s">
        <v>2420</v>
      </c>
      <c r="D140" s="673" t="s">
        <v>398</v>
      </c>
      <c r="E140" s="673" t="s">
        <v>398</v>
      </c>
      <c r="F140" s="673" t="s">
        <v>398</v>
      </c>
      <c r="G140" s="0" t="s">
        <v>398</v>
      </c>
      <c r="H140" s="210" t="s">
        <v>437</v>
      </c>
      <c r="I140" s="0" t="s">
        <v>433</v>
      </c>
      <c r="J140" s="0" t="s">
        <v>404</v>
      </c>
      <c r="K140" s="0" t="s">
        <v>422</v>
      </c>
      <c r="L140" s="0" t="s">
        <v>2420</v>
      </c>
      <c r="M140" s="210" t="s">
        <v>417</v>
      </c>
      <c r="N140" s="0" t="s">
        <v>2422</v>
      </c>
      <c r="O140" s="0" t="s">
        <v>2419</v>
      </c>
      <c r="P140" s="0" t="s">
        <v>417</v>
      </c>
      <c r="Q140" s="0" t="s">
        <v>1090</v>
      </c>
      <c r="R140" s="0" t="s">
        <v>2419</v>
      </c>
      <c r="S140" s="0" t="s">
        <v>419</v>
      </c>
      <c r="T140" s="0" t="s">
        <v>398</v>
      </c>
      <c r="U140" s="0" t="s">
        <v>398</v>
      </c>
      <c r="V140" s="0" t="s">
        <v>398</v>
      </c>
      <c r="W140" s="0" t="s">
        <v>437</v>
      </c>
      <c r="X140" s="0" t="s">
        <v>433</v>
      </c>
      <c r="Y140" s="0" t="s">
        <v>2394</v>
      </c>
      <c r="Z140" s="0" t="s">
        <v>2382</v>
      </c>
      <c r="AA140" s="0" t="s">
        <v>2422</v>
      </c>
      <c r="AB140" s="0" t="s">
        <v>2422</v>
      </c>
      <c r="AC140" s="0" t="s">
        <v>426</v>
      </c>
      <c r="AD140" s="0" t="s">
        <v>426</v>
      </c>
      <c r="AE140" s="0" t="s">
        <v>417</v>
      </c>
      <c r="AF140" s="0" t="s">
        <v>417</v>
      </c>
      <c r="AG140" s="0" t="s">
        <v>404</v>
      </c>
      <c r="AH140" s="0" t="s">
        <v>404</v>
      </c>
      <c r="AI140" s="0" t="s">
        <v>404</v>
      </c>
      <c r="AJ140" s="0" t="s">
        <v>404</v>
      </c>
      <c r="AK140" s="0" t="s">
        <v>422</v>
      </c>
      <c r="AL140" s="0" t="s">
        <v>404</v>
      </c>
      <c r="AM140" s="0" t="s">
        <v>404</v>
      </c>
      <c r="AN140" s="0" t="s">
        <v>216</v>
      </c>
      <c r="AO140" s="0" t="s">
        <v>216</v>
      </c>
      <c r="AP140" s="0" t="s">
        <v>2422</v>
      </c>
      <c r="AQ140" s="0" t="s">
        <v>2422</v>
      </c>
      <c r="AR140" s="0" t="s">
        <v>414</v>
      </c>
      <c r="AS140" s="0" t="s">
        <v>2422</v>
      </c>
      <c r="AT140" s="0" t="s">
        <v>2419</v>
      </c>
      <c r="AU140" s="0" t="s">
        <v>437</v>
      </c>
      <c r="AV140" s="0" t="s">
        <v>328</v>
      </c>
      <c r="AW140" s="0" t="s">
        <v>2423</v>
      </c>
      <c r="AX140" s="0" t="s">
        <v>2423</v>
      </c>
      <c r="AY140" s="0" t="s">
        <v>417</v>
      </c>
      <c r="AZ140" s="0" t="s">
        <v>1090</v>
      </c>
      <c r="BA140" s="0" t="s">
        <v>398</v>
      </c>
      <c r="BB140" s="0" t="s">
        <v>398</v>
      </c>
    </row>
    <row r="141" customFormat="false" ht="12.75" hidden="false" customHeight="false" outlineLevel="0" collapsed="false">
      <c r="M141" s="210"/>
    </row>
    <row r="142" customFormat="false" ht="12.75" hidden="false" customHeight="false" outlineLevel="0" collapsed="false">
      <c r="C142" s="657" t="s">
        <v>254</v>
      </c>
      <c r="D142" s="0" t="s">
        <v>2424</v>
      </c>
      <c r="E142" s="0" t="s">
        <v>2424</v>
      </c>
      <c r="F142" s="0" t="s">
        <v>2424</v>
      </c>
      <c r="G142" s="0" t="s">
        <v>2425</v>
      </c>
      <c r="H142" s="0" t="s">
        <v>254</v>
      </c>
      <c r="I142" s="0" t="s">
        <v>2426</v>
      </c>
      <c r="J142" s="0" t="s">
        <v>2424</v>
      </c>
      <c r="K142" s="0" t="s">
        <v>2396</v>
      </c>
      <c r="L142" s="0" t="s">
        <v>208</v>
      </c>
      <c r="M142" s="210" t="s">
        <v>2427</v>
      </c>
      <c r="N142" s="0" t="s">
        <v>2428</v>
      </c>
      <c r="O142" s="0" t="s">
        <v>317</v>
      </c>
      <c r="P142" s="0" t="s">
        <v>2381</v>
      </c>
      <c r="Q142" s="0" t="s">
        <v>2400</v>
      </c>
      <c r="R142" s="0" t="s">
        <v>2429</v>
      </c>
      <c r="S142" s="0" t="s">
        <v>2379</v>
      </c>
      <c r="T142" s="0" t="s">
        <v>218</v>
      </c>
      <c r="U142" s="0" t="s">
        <v>218</v>
      </c>
      <c r="V142" s="0" t="s">
        <v>218</v>
      </c>
      <c r="W142" s="0" t="s">
        <v>2397</v>
      </c>
      <c r="X142" s="0" t="s">
        <v>2397</v>
      </c>
      <c r="Y142" s="0" t="s">
        <v>2430</v>
      </c>
      <c r="Z142" s="0" t="s">
        <v>218</v>
      </c>
      <c r="AA142" s="0" t="s">
        <v>218</v>
      </c>
      <c r="AB142" s="0" t="s">
        <v>218</v>
      </c>
      <c r="AC142" s="0" t="s">
        <v>218</v>
      </c>
      <c r="AD142" s="0" t="s">
        <v>218</v>
      </c>
      <c r="AE142" s="0" t="s">
        <v>317</v>
      </c>
      <c r="AF142" s="0" t="s">
        <v>317</v>
      </c>
      <c r="AG142" s="0" t="s">
        <v>2424</v>
      </c>
      <c r="AH142" s="0" t="s">
        <v>2424</v>
      </c>
      <c r="AI142" s="0" t="s">
        <v>2424</v>
      </c>
      <c r="AJ142" s="0" t="s">
        <v>2424</v>
      </c>
      <c r="AK142" s="0" t="s">
        <v>2424</v>
      </c>
      <c r="AL142" s="0" t="s">
        <v>2424</v>
      </c>
      <c r="AM142" s="0" t="s">
        <v>2380</v>
      </c>
      <c r="AN142" s="0" t="s">
        <v>278</v>
      </c>
      <c r="AO142" s="0" t="s">
        <v>218</v>
      </c>
      <c r="AP142" s="0" t="s">
        <v>296</v>
      </c>
      <c r="AQ142" s="0" t="s">
        <v>296</v>
      </c>
      <c r="AR142" s="0" t="s">
        <v>296</v>
      </c>
      <c r="AS142" s="0" t="s">
        <v>296</v>
      </c>
      <c r="AT142" s="0" t="s">
        <v>2429</v>
      </c>
      <c r="AU142" s="0" t="s">
        <v>218</v>
      </c>
      <c r="AV142" s="0" t="s">
        <v>278</v>
      </c>
      <c r="AW142" s="0" t="s">
        <v>256</v>
      </c>
      <c r="AX142" s="0" t="s">
        <v>256</v>
      </c>
      <c r="AY142" s="0" t="s">
        <v>2402</v>
      </c>
      <c r="AZ142" s="0" t="s">
        <v>208</v>
      </c>
      <c r="BA142" s="0" t="s">
        <v>320</v>
      </c>
      <c r="BB142" s="0" t="s">
        <v>268</v>
      </c>
    </row>
    <row r="143" customFormat="false" ht="12.75" hidden="false" customHeight="false" outlineLevel="0" collapsed="false">
      <c r="C143" s="657" t="s">
        <v>256</v>
      </c>
      <c r="D143" s="0" t="s">
        <v>218</v>
      </c>
      <c r="E143" s="0" t="s">
        <v>218</v>
      </c>
      <c r="F143" s="0" t="s">
        <v>218</v>
      </c>
      <c r="G143" s="673" t="s">
        <v>2431</v>
      </c>
      <c r="H143" s="0" t="s">
        <v>218</v>
      </c>
      <c r="I143" s="0" t="s">
        <v>2409</v>
      </c>
      <c r="J143" s="0" t="s">
        <v>218</v>
      </c>
      <c r="K143" s="0" t="s">
        <v>218</v>
      </c>
      <c r="L143" s="0" t="s">
        <v>2428</v>
      </c>
      <c r="M143" s="210" t="s">
        <v>364</v>
      </c>
      <c r="N143" s="0" t="s">
        <v>2428</v>
      </c>
      <c r="O143" s="0" t="s">
        <v>256</v>
      </c>
      <c r="P143" s="0" t="s">
        <v>2396</v>
      </c>
      <c r="Q143" s="0" t="s">
        <v>2432</v>
      </c>
      <c r="R143" s="0" t="s">
        <v>256</v>
      </c>
      <c r="S143" s="0" t="s">
        <v>206</v>
      </c>
      <c r="T143" s="0" t="s">
        <v>2402</v>
      </c>
      <c r="U143" s="0" t="s">
        <v>2402</v>
      </c>
      <c r="V143" s="0" t="s">
        <v>2402</v>
      </c>
      <c r="W143" s="0" t="s">
        <v>2430</v>
      </c>
      <c r="X143" s="0" t="s">
        <v>2430</v>
      </c>
      <c r="Y143" s="0" t="s">
        <v>2407</v>
      </c>
      <c r="Z143" s="0" t="s">
        <v>320</v>
      </c>
      <c r="AA143" s="0" t="s">
        <v>282</v>
      </c>
      <c r="AB143" s="0" t="s">
        <v>282</v>
      </c>
      <c r="AC143" s="0" t="s">
        <v>256</v>
      </c>
      <c r="AD143" s="0" t="s">
        <v>282</v>
      </c>
      <c r="AE143" s="0" t="s">
        <v>266</v>
      </c>
      <c r="AF143" s="0" t="s">
        <v>266</v>
      </c>
      <c r="AG143" s="0" t="s">
        <v>218</v>
      </c>
      <c r="AH143" s="0" t="s">
        <v>218</v>
      </c>
      <c r="AI143" s="0" t="s">
        <v>218</v>
      </c>
      <c r="AJ143" s="0" t="s">
        <v>218</v>
      </c>
      <c r="AK143" s="0" t="s">
        <v>218</v>
      </c>
      <c r="AL143" s="0" t="s">
        <v>317</v>
      </c>
      <c r="AM143" s="0" t="s">
        <v>218</v>
      </c>
      <c r="AN143" s="0" t="s">
        <v>218</v>
      </c>
      <c r="AO143" s="0" t="s">
        <v>208</v>
      </c>
      <c r="AP143" s="0" t="s">
        <v>2380</v>
      </c>
      <c r="AQ143" s="0" t="s">
        <v>2380</v>
      </c>
      <c r="AR143" s="0" t="s">
        <v>2380</v>
      </c>
      <c r="AS143" s="0" t="s">
        <v>322</v>
      </c>
      <c r="AT143" s="0" t="s">
        <v>256</v>
      </c>
      <c r="AU143" s="0" t="s">
        <v>208</v>
      </c>
      <c r="AV143" s="0" t="s">
        <v>317</v>
      </c>
      <c r="AW143" s="0" t="s">
        <v>206</v>
      </c>
      <c r="AX143" s="0" t="s">
        <v>206</v>
      </c>
      <c r="AY143" s="0" t="s">
        <v>210</v>
      </c>
      <c r="AZ143" s="0" t="s">
        <v>2427</v>
      </c>
      <c r="BA143" s="0" t="s">
        <v>2405</v>
      </c>
      <c r="BB143" s="0" t="s">
        <v>320</v>
      </c>
    </row>
    <row r="144" customFormat="false" ht="12.75" hidden="false" customHeight="false" outlineLevel="0" collapsed="false">
      <c r="C144" s="657" t="s">
        <v>282</v>
      </c>
      <c r="D144" s="0" t="s">
        <v>2271</v>
      </c>
      <c r="E144" s="0" t="s">
        <v>2271</v>
      </c>
      <c r="F144" s="0" t="s">
        <v>2271</v>
      </c>
      <c r="G144" s="0" t="s">
        <v>2397</v>
      </c>
      <c r="H144" s="0" t="s">
        <v>276</v>
      </c>
      <c r="I144" s="0" t="s">
        <v>2433</v>
      </c>
      <c r="J144" s="0" t="s">
        <v>317</v>
      </c>
      <c r="K144" s="0" t="s">
        <v>2402</v>
      </c>
      <c r="L144" s="0" t="s">
        <v>2428</v>
      </c>
      <c r="M144" s="210" t="s">
        <v>367</v>
      </c>
      <c r="N144" s="0" t="s">
        <v>300</v>
      </c>
      <c r="O144" s="0" t="s">
        <v>2434</v>
      </c>
      <c r="P144" s="0" t="s">
        <v>208</v>
      </c>
      <c r="Q144" s="0" t="s">
        <v>2428</v>
      </c>
      <c r="R144" s="0" t="s">
        <v>269</v>
      </c>
      <c r="S144" s="0" t="s">
        <v>209</v>
      </c>
      <c r="T144" s="0" t="s">
        <v>210</v>
      </c>
      <c r="U144" s="0" t="s">
        <v>210</v>
      </c>
      <c r="V144" s="0" t="s">
        <v>210</v>
      </c>
      <c r="W144" s="0" t="s">
        <v>203</v>
      </c>
      <c r="X144" s="0" t="s">
        <v>203</v>
      </c>
      <c r="Y144" s="0" t="s">
        <v>2435</v>
      </c>
      <c r="Z144" s="0" t="s">
        <v>322</v>
      </c>
      <c r="AA144" s="0" t="s">
        <v>300</v>
      </c>
      <c r="AB144" s="0" t="s">
        <v>300</v>
      </c>
      <c r="AC144" s="0" t="s">
        <v>282</v>
      </c>
      <c r="AD144" s="0" t="s">
        <v>300</v>
      </c>
      <c r="AE144" s="0" t="s">
        <v>2436</v>
      </c>
      <c r="AF144" s="0" t="s">
        <v>2436</v>
      </c>
      <c r="AG144" s="0" t="s">
        <v>317</v>
      </c>
      <c r="AH144" s="0" t="s">
        <v>317</v>
      </c>
      <c r="AI144" s="0" t="s">
        <v>317</v>
      </c>
      <c r="AJ144" s="0" t="s">
        <v>317</v>
      </c>
      <c r="AK144" s="0" t="s">
        <v>317</v>
      </c>
      <c r="AL144" s="0" t="s">
        <v>2427</v>
      </c>
      <c r="AM144" s="0" t="s">
        <v>317</v>
      </c>
      <c r="AN144" s="0" t="s">
        <v>208</v>
      </c>
      <c r="AO144" s="0" t="s">
        <v>2427</v>
      </c>
      <c r="AP144" s="0" t="s">
        <v>322</v>
      </c>
      <c r="AQ144" s="0" t="s">
        <v>322</v>
      </c>
      <c r="AR144" s="0" t="s">
        <v>322</v>
      </c>
      <c r="AS144" s="0" t="s">
        <v>2387</v>
      </c>
      <c r="AT144" s="0" t="s">
        <v>2437</v>
      </c>
      <c r="AU144" s="0" t="s">
        <v>2432</v>
      </c>
      <c r="AV144" s="0" t="s">
        <v>2438</v>
      </c>
      <c r="AW144" s="0" t="s">
        <v>2439</v>
      </c>
      <c r="AX144" s="0" t="s">
        <v>2439</v>
      </c>
      <c r="AY144" s="0" t="s">
        <v>2413</v>
      </c>
      <c r="AZ144" s="0" t="s">
        <v>2428</v>
      </c>
      <c r="BA144" s="0" t="s">
        <v>2407</v>
      </c>
      <c r="BB144" s="0" t="s">
        <v>2405</v>
      </c>
    </row>
    <row r="145" customFormat="false" ht="12.75" hidden="false" customHeight="false" outlineLevel="0" collapsed="false">
      <c r="C145" s="657" t="s">
        <v>203</v>
      </c>
      <c r="D145" s="0" t="s">
        <v>2407</v>
      </c>
      <c r="E145" s="0" t="s">
        <v>2407</v>
      </c>
      <c r="F145" s="0" t="s">
        <v>2407</v>
      </c>
      <c r="G145" s="0" t="s">
        <v>2440</v>
      </c>
      <c r="H145" s="0" t="s">
        <v>209</v>
      </c>
      <c r="I145" s="0" t="s">
        <v>306</v>
      </c>
      <c r="J145" s="0" t="s">
        <v>2427</v>
      </c>
      <c r="K145" s="0" t="s">
        <v>2387</v>
      </c>
      <c r="L145" s="0" t="s">
        <v>2436</v>
      </c>
      <c r="M145" s="210" t="s">
        <v>386</v>
      </c>
      <c r="N145" s="0" t="s">
        <v>310</v>
      </c>
      <c r="O145" s="0" t="s">
        <v>2437</v>
      </c>
      <c r="P145" s="0" t="s">
        <v>2387</v>
      </c>
      <c r="Q145" s="0" t="s">
        <v>2428</v>
      </c>
      <c r="R145" s="0" t="s">
        <v>206</v>
      </c>
      <c r="S145" s="0" t="s">
        <v>2439</v>
      </c>
      <c r="T145" s="0" t="s">
        <v>216</v>
      </c>
      <c r="U145" s="0" t="s">
        <v>2392</v>
      </c>
      <c r="V145" s="0" t="s">
        <v>216</v>
      </c>
      <c r="W145" s="0" t="s">
        <v>2437</v>
      </c>
      <c r="X145" s="0" t="s">
        <v>2437</v>
      </c>
      <c r="Y145" s="0" t="s">
        <v>2435</v>
      </c>
      <c r="Z145" s="0" t="s">
        <v>2438</v>
      </c>
      <c r="AA145" s="0" t="s">
        <v>203</v>
      </c>
      <c r="AB145" s="0" t="s">
        <v>203</v>
      </c>
      <c r="AC145" s="0" t="s">
        <v>300</v>
      </c>
      <c r="AD145" s="0" t="s">
        <v>203</v>
      </c>
      <c r="AE145" s="0" t="s">
        <v>300</v>
      </c>
      <c r="AF145" s="0" t="s">
        <v>300</v>
      </c>
      <c r="AG145" s="0" t="s">
        <v>2427</v>
      </c>
      <c r="AH145" s="0" t="s">
        <v>2427</v>
      </c>
      <c r="AI145" s="0" t="s">
        <v>2427</v>
      </c>
      <c r="AJ145" s="0" t="s">
        <v>2427</v>
      </c>
      <c r="AK145" s="0" t="s">
        <v>2427</v>
      </c>
      <c r="AL145" s="0" t="s">
        <v>276</v>
      </c>
      <c r="AM145" s="0" t="s">
        <v>2427</v>
      </c>
      <c r="AN145" s="0" t="s">
        <v>2427</v>
      </c>
      <c r="AO145" s="0" t="s">
        <v>210</v>
      </c>
      <c r="AP145" s="0" t="s">
        <v>276</v>
      </c>
      <c r="AQ145" s="0" t="s">
        <v>2387</v>
      </c>
      <c r="AR145" s="0" t="s">
        <v>276</v>
      </c>
      <c r="AS145" s="0" t="s">
        <v>2407</v>
      </c>
      <c r="AT145" s="0" t="s">
        <v>2439</v>
      </c>
      <c r="AU145" s="0" t="s">
        <v>2441</v>
      </c>
      <c r="AV145" s="0" t="s">
        <v>285</v>
      </c>
      <c r="AW145" s="0" t="s">
        <v>331</v>
      </c>
      <c r="AX145" s="0" t="s">
        <v>367</v>
      </c>
      <c r="AY145" s="0" t="s">
        <v>2386</v>
      </c>
      <c r="AZ145" s="0" t="s">
        <v>2428</v>
      </c>
      <c r="BA145" s="0" t="s">
        <v>2442</v>
      </c>
      <c r="BB145" s="0" t="s">
        <v>2407</v>
      </c>
    </row>
    <row r="146" customFormat="false" ht="12.75" hidden="false" customHeight="false" outlineLevel="0" collapsed="false">
      <c r="C146" s="657" t="s">
        <v>2439</v>
      </c>
      <c r="D146" s="0" t="s">
        <v>2392</v>
      </c>
      <c r="E146" s="0" t="s">
        <v>2392</v>
      </c>
      <c r="F146" s="0" t="s">
        <v>2392</v>
      </c>
      <c r="G146" s="0" t="s">
        <v>2443</v>
      </c>
      <c r="H146" s="0" t="s">
        <v>203</v>
      </c>
      <c r="I146" s="0" t="s">
        <v>2437</v>
      </c>
      <c r="J146" s="0" t="s">
        <v>276</v>
      </c>
      <c r="K146" s="0" t="s">
        <v>216</v>
      </c>
      <c r="L146" s="0" t="s">
        <v>2444</v>
      </c>
      <c r="M146" s="210" t="s">
        <v>2445</v>
      </c>
      <c r="N146" s="0" t="s">
        <v>367</v>
      </c>
      <c r="O146" s="0" t="s">
        <v>2439</v>
      </c>
      <c r="P146" s="0" t="s">
        <v>2436</v>
      </c>
      <c r="Q146" s="0" t="s">
        <v>2383</v>
      </c>
      <c r="R146" s="0" t="s">
        <v>2446</v>
      </c>
      <c r="S146" s="0" t="s">
        <v>367</v>
      </c>
      <c r="T146" s="0" t="s">
        <v>323</v>
      </c>
      <c r="U146" s="0" t="s">
        <v>216</v>
      </c>
      <c r="V146" s="0" t="s">
        <v>323</v>
      </c>
      <c r="W146" s="0" t="s">
        <v>2439</v>
      </c>
      <c r="X146" s="0" t="s">
        <v>2439</v>
      </c>
      <c r="Y146" s="0" t="s">
        <v>2441</v>
      </c>
      <c r="Z146" s="0" t="s">
        <v>300</v>
      </c>
      <c r="AA146" s="0" t="s">
        <v>2439</v>
      </c>
      <c r="AB146" s="0" t="s">
        <v>2439</v>
      </c>
      <c r="AC146" s="0" t="s">
        <v>2439</v>
      </c>
      <c r="AD146" s="0" t="s">
        <v>2439</v>
      </c>
      <c r="AE146" s="0" t="s">
        <v>2447</v>
      </c>
      <c r="AF146" s="0" t="s">
        <v>2447</v>
      </c>
      <c r="AG146" s="0" t="s">
        <v>276</v>
      </c>
      <c r="AH146" s="0" t="s">
        <v>276</v>
      </c>
      <c r="AI146" s="0" t="s">
        <v>276</v>
      </c>
      <c r="AJ146" s="0" t="s">
        <v>276</v>
      </c>
      <c r="AK146" s="0" t="s">
        <v>276</v>
      </c>
      <c r="AL146" s="0" t="s">
        <v>2403</v>
      </c>
      <c r="AM146" s="0" t="s">
        <v>276</v>
      </c>
      <c r="AN146" s="0" t="s">
        <v>300</v>
      </c>
      <c r="AO146" s="0" t="s">
        <v>300</v>
      </c>
      <c r="AP146" s="0" t="s">
        <v>300</v>
      </c>
      <c r="AQ146" s="0" t="s">
        <v>276</v>
      </c>
      <c r="AR146" s="0" t="s">
        <v>300</v>
      </c>
      <c r="AS146" s="0" t="s">
        <v>276</v>
      </c>
      <c r="AT146" s="0" t="s">
        <v>386</v>
      </c>
      <c r="AU146" s="0" t="s">
        <v>2437</v>
      </c>
      <c r="AV146" s="0" t="s">
        <v>2448</v>
      </c>
      <c r="AW146" s="0" t="s">
        <v>367</v>
      </c>
      <c r="AX146" s="0" t="s">
        <v>386</v>
      </c>
      <c r="AY146" s="0" t="s">
        <v>2444</v>
      </c>
      <c r="AZ146" s="0" t="s">
        <v>2417</v>
      </c>
      <c r="BA146" s="0" t="s">
        <v>2409</v>
      </c>
      <c r="BB146" s="0" t="s">
        <v>2442</v>
      </c>
    </row>
    <row r="147" customFormat="false" ht="12.75" hidden="false" customHeight="false" outlineLevel="0" collapsed="false">
      <c r="C147" s="657" t="s">
        <v>373</v>
      </c>
      <c r="D147" s="0" t="s">
        <v>306</v>
      </c>
      <c r="E147" s="0" t="s">
        <v>306</v>
      </c>
      <c r="F147" s="0" t="s">
        <v>306</v>
      </c>
      <c r="G147" s="0" t="s">
        <v>2439</v>
      </c>
      <c r="H147" s="0" t="s">
        <v>2413</v>
      </c>
      <c r="I147" s="0" t="s">
        <v>332</v>
      </c>
      <c r="J147" s="0" t="s">
        <v>2403</v>
      </c>
      <c r="K147" s="0" t="s">
        <v>323</v>
      </c>
      <c r="L147" s="0" t="s">
        <v>2449</v>
      </c>
      <c r="M147" s="210" t="s">
        <v>2450</v>
      </c>
      <c r="N147" s="0" t="s">
        <v>204</v>
      </c>
      <c r="O147" s="0" t="s">
        <v>367</v>
      </c>
      <c r="P147" s="0" t="s">
        <v>328</v>
      </c>
      <c r="Q147" s="0" t="s">
        <v>2439</v>
      </c>
      <c r="R147" s="0" t="s">
        <v>367</v>
      </c>
      <c r="S147" s="0" t="s">
        <v>2449</v>
      </c>
      <c r="T147" s="0" t="s">
        <v>2386</v>
      </c>
      <c r="U147" s="0" t="s">
        <v>323</v>
      </c>
      <c r="V147" s="0" t="s">
        <v>2386</v>
      </c>
      <c r="W147" s="0" t="s">
        <v>404</v>
      </c>
      <c r="X147" s="0" t="s">
        <v>404</v>
      </c>
      <c r="Y147" s="0" t="s">
        <v>2449</v>
      </c>
      <c r="Z147" s="0" t="s">
        <v>2448</v>
      </c>
      <c r="AA147" s="0" t="s">
        <v>404</v>
      </c>
      <c r="AB147" s="0" t="s">
        <v>404</v>
      </c>
      <c r="AC147" s="0" t="s">
        <v>404</v>
      </c>
      <c r="AD147" s="0" t="s">
        <v>404</v>
      </c>
      <c r="AE147" s="0" t="s">
        <v>2439</v>
      </c>
      <c r="AF147" s="0" t="s">
        <v>2439</v>
      </c>
      <c r="AG147" s="0" t="s">
        <v>2403</v>
      </c>
      <c r="AH147" s="0" t="s">
        <v>2403</v>
      </c>
      <c r="AI147" s="0" t="s">
        <v>285</v>
      </c>
      <c r="AJ147" s="0" t="s">
        <v>2403</v>
      </c>
      <c r="AK147" s="0" t="s">
        <v>2403</v>
      </c>
      <c r="AL147" s="0" t="s">
        <v>300</v>
      </c>
      <c r="AM147" s="0" t="s">
        <v>2403</v>
      </c>
      <c r="AN147" s="0" t="s">
        <v>367</v>
      </c>
      <c r="AO147" s="0" t="s">
        <v>367</v>
      </c>
      <c r="AP147" s="0" t="s">
        <v>347</v>
      </c>
      <c r="AQ147" s="0" t="s">
        <v>300</v>
      </c>
      <c r="AR147" s="0" t="s">
        <v>347</v>
      </c>
      <c r="AS147" s="0" t="s">
        <v>300</v>
      </c>
      <c r="AT147" s="0" t="s">
        <v>393</v>
      </c>
      <c r="AU147" s="0" t="s">
        <v>2451</v>
      </c>
      <c r="AV147" s="0" t="s">
        <v>2383</v>
      </c>
      <c r="AW147" s="0" t="s">
        <v>411</v>
      </c>
      <c r="AX147" s="0" t="s">
        <v>411</v>
      </c>
      <c r="AY147" s="0" t="s">
        <v>404</v>
      </c>
      <c r="AZ147" s="0" t="s">
        <v>319</v>
      </c>
      <c r="BA147" s="0" t="s">
        <v>323</v>
      </c>
      <c r="BB147" s="0" t="s">
        <v>2409</v>
      </c>
    </row>
    <row r="148" customFormat="false" ht="12.75" hidden="false" customHeight="false" outlineLevel="0" collapsed="false">
      <c r="C148" s="657" t="s">
        <v>411</v>
      </c>
      <c r="D148" s="0" t="s">
        <v>319</v>
      </c>
      <c r="E148" s="0" t="s">
        <v>319</v>
      </c>
      <c r="F148" s="0" t="s">
        <v>319</v>
      </c>
      <c r="G148" s="0" t="s">
        <v>2452</v>
      </c>
      <c r="H148" s="0" t="s">
        <v>404</v>
      </c>
      <c r="I148" s="0" t="s">
        <v>2453</v>
      </c>
      <c r="J148" s="0" t="s">
        <v>300</v>
      </c>
      <c r="K148" s="0" t="s">
        <v>2386</v>
      </c>
      <c r="L148" s="0" t="s">
        <v>1012</v>
      </c>
      <c r="M148" s="210" t="s">
        <v>2419</v>
      </c>
      <c r="N148" s="0" t="s">
        <v>2449</v>
      </c>
      <c r="O148" s="0" t="s">
        <v>381</v>
      </c>
      <c r="P148" s="0" t="s">
        <v>424</v>
      </c>
      <c r="Q148" s="0" t="s">
        <v>2449</v>
      </c>
      <c r="R148" s="0" t="s">
        <v>2386</v>
      </c>
      <c r="S148" s="0" t="s">
        <v>2445</v>
      </c>
      <c r="T148" s="0" t="s">
        <v>422</v>
      </c>
      <c r="U148" s="0" t="s">
        <v>422</v>
      </c>
      <c r="V148" s="0" t="s">
        <v>422</v>
      </c>
      <c r="W148" s="0" t="s">
        <v>411</v>
      </c>
      <c r="X148" s="0" t="s">
        <v>411</v>
      </c>
      <c r="Y148" s="0" t="s">
        <v>2454</v>
      </c>
      <c r="Z148" s="0" t="s">
        <v>203</v>
      </c>
      <c r="AA148" s="0" t="s">
        <v>407</v>
      </c>
      <c r="AB148" s="0" t="s">
        <v>407</v>
      </c>
      <c r="AC148" s="0" t="s">
        <v>407</v>
      </c>
      <c r="AD148" s="0" t="s">
        <v>407</v>
      </c>
      <c r="AE148" s="0" t="s">
        <v>386</v>
      </c>
      <c r="AF148" s="0" t="s">
        <v>386</v>
      </c>
      <c r="AG148" s="0" t="s">
        <v>300</v>
      </c>
      <c r="AH148" s="0" t="s">
        <v>300</v>
      </c>
      <c r="AI148" s="0" t="s">
        <v>300</v>
      </c>
      <c r="AJ148" s="0" t="s">
        <v>300</v>
      </c>
      <c r="AK148" s="0" t="s">
        <v>300</v>
      </c>
      <c r="AL148" s="0" t="s">
        <v>328</v>
      </c>
      <c r="AM148" s="0" t="s">
        <v>300</v>
      </c>
      <c r="AN148" s="0" t="s">
        <v>2455</v>
      </c>
      <c r="AO148" s="0" t="s">
        <v>2455</v>
      </c>
      <c r="AP148" s="0" t="s">
        <v>364</v>
      </c>
      <c r="AQ148" s="0" t="s">
        <v>347</v>
      </c>
      <c r="AR148" s="0" t="s">
        <v>364</v>
      </c>
      <c r="AS148" s="0" t="s">
        <v>347</v>
      </c>
      <c r="AT148" s="0" t="s">
        <v>2445</v>
      </c>
      <c r="AU148" s="0" t="s">
        <v>367</v>
      </c>
      <c r="AV148" s="0" t="s">
        <v>203</v>
      </c>
      <c r="AW148" s="0" t="s">
        <v>2419</v>
      </c>
      <c r="AX148" s="0" t="s">
        <v>2419</v>
      </c>
      <c r="AY148" s="0" t="s">
        <v>2423</v>
      </c>
      <c r="AZ148" s="0" t="s">
        <v>2456</v>
      </c>
      <c r="BA148" s="0" t="s">
        <v>2413</v>
      </c>
      <c r="BB148" s="0" t="s">
        <v>323</v>
      </c>
    </row>
    <row r="149" customFormat="false" ht="12.75" hidden="false" customHeight="false" outlineLevel="0" collapsed="false">
      <c r="C149" s="657" t="s">
        <v>414</v>
      </c>
      <c r="D149" s="0" t="s">
        <v>2449</v>
      </c>
      <c r="E149" s="0" t="s">
        <v>2449</v>
      </c>
      <c r="F149" s="0" t="s">
        <v>2457</v>
      </c>
      <c r="G149" s="0" t="s">
        <v>378</v>
      </c>
      <c r="H149" s="0" t="s">
        <v>2419</v>
      </c>
      <c r="I149" s="0" t="s">
        <v>2458</v>
      </c>
      <c r="J149" s="0" t="s">
        <v>328</v>
      </c>
      <c r="K149" s="0" t="s">
        <v>424</v>
      </c>
      <c r="L149" s="0" t="s">
        <v>202</v>
      </c>
      <c r="M149" s="210" t="s">
        <v>437</v>
      </c>
      <c r="N149" s="0" t="s">
        <v>1012</v>
      </c>
      <c r="O149" s="0" t="s">
        <v>2450</v>
      </c>
      <c r="P149" s="0" t="s">
        <v>437</v>
      </c>
      <c r="Q149" s="0" t="s">
        <v>1012</v>
      </c>
      <c r="R149" s="0" t="s">
        <v>2450</v>
      </c>
      <c r="S149" s="0" t="s">
        <v>2450</v>
      </c>
      <c r="T149" s="0" t="s">
        <v>424</v>
      </c>
      <c r="U149" s="0" t="s">
        <v>424</v>
      </c>
      <c r="V149" s="0" t="s">
        <v>424</v>
      </c>
      <c r="W149" s="0" t="s">
        <v>2419</v>
      </c>
      <c r="X149" s="0" t="s">
        <v>2419</v>
      </c>
      <c r="Y149" s="0" t="s">
        <v>1012</v>
      </c>
      <c r="Z149" s="0" t="s">
        <v>319</v>
      </c>
      <c r="AA149" s="0" t="s">
        <v>2419</v>
      </c>
      <c r="AB149" s="0" t="s">
        <v>2419</v>
      </c>
      <c r="AC149" s="0" t="s">
        <v>2419</v>
      </c>
      <c r="AD149" s="0" t="s">
        <v>2419</v>
      </c>
      <c r="AE149" s="0" t="s">
        <v>2419</v>
      </c>
      <c r="AF149" s="0" t="s">
        <v>2419</v>
      </c>
      <c r="AG149" s="0" t="s">
        <v>328</v>
      </c>
      <c r="AH149" s="0" t="s">
        <v>328</v>
      </c>
      <c r="AI149" s="0" t="s">
        <v>328</v>
      </c>
      <c r="AJ149" s="0" t="s">
        <v>328</v>
      </c>
      <c r="AK149" s="0" t="s">
        <v>328</v>
      </c>
      <c r="AL149" s="0" t="s">
        <v>204</v>
      </c>
      <c r="AM149" s="0" t="s">
        <v>328</v>
      </c>
      <c r="AN149" s="0" t="s">
        <v>2449</v>
      </c>
      <c r="AO149" s="0" t="s">
        <v>2449</v>
      </c>
      <c r="AP149" s="0" t="s">
        <v>204</v>
      </c>
      <c r="AQ149" s="0" t="s">
        <v>204</v>
      </c>
      <c r="AR149" s="0" t="s">
        <v>204</v>
      </c>
      <c r="AS149" s="0" t="s">
        <v>204</v>
      </c>
      <c r="AT149" s="0" t="s">
        <v>411</v>
      </c>
      <c r="AU149" s="0" t="s">
        <v>2459</v>
      </c>
      <c r="AV149" s="0" t="s">
        <v>319</v>
      </c>
      <c r="AW149" s="0" t="s">
        <v>437</v>
      </c>
      <c r="AX149" s="0" t="s">
        <v>437</v>
      </c>
      <c r="AY149" s="0" t="s">
        <v>437</v>
      </c>
      <c r="AZ149" s="0" t="s">
        <v>1012</v>
      </c>
      <c r="BA149" s="0" t="s">
        <v>2444</v>
      </c>
      <c r="BB149" s="0" t="s">
        <v>2444</v>
      </c>
    </row>
    <row r="150" customFormat="false" ht="12.75" hidden="false" customHeight="false" outlineLevel="0" collapsed="false">
      <c r="G150" s="0" t="s">
        <v>2419</v>
      </c>
      <c r="M150" s="210"/>
    </row>
    <row r="151" customFormat="false" ht="12.75" hidden="false" customHeight="false" outlineLevel="0" collapsed="false">
      <c r="C151" s="657" t="s">
        <v>2430</v>
      </c>
      <c r="D151" s="0" t="s">
        <v>296</v>
      </c>
      <c r="E151" s="0" t="s">
        <v>296</v>
      </c>
      <c r="F151" s="0" t="s">
        <v>296</v>
      </c>
      <c r="G151" s="0" t="s">
        <v>2460</v>
      </c>
      <c r="H151" s="0" t="s">
        <v>2461</v>
      </c>
      <c r="I151" s="0" t="s">
        <v>2462</v>
      </c>
      <c r="J151" s="0" t="s">
        <v>2463</v>
      </c>
      <c r="K151" s="0" t="s">
        <v>2464</v>
      </c>
      <c r="L151" s="0" t="s">
        <v>2465</v>
      </c>
      <c r="M151" s="210" t="s">
        <v>2461</v>
      </c>
      <c r="N151" s="0" t="s">
        <v>2465</v>
      </c>
      <c r="O151" s="0" t="s">
        <v>2466</v>
      </c>
      <c r="P151" s="0" t="s">
        <v>285</v>
      </c>
      <c r="Q151" s="0" t="s">
        <v>2467</v>
      </c>
      <c r="R151" s="0" t="s">
        <v>2466</v>
      </c>
      <c r="S151" s="0" t="s">
        <v>2461</v>
      </c>
      <c r="T151" s="0" t="s">
        <v>2464</v>
      </c>
      <c r="U151" s="0" t="s">
        <v>2464</v>
      </c>
      <c r="V151" s="0" t="s">
        <v>2464</v>
      </c>
      <c r="W151" s="0" t="s">
        <v>2384</v>
      </c>
      <c r="X151" s="0" t="s">
        <v>2384</v>
      </c>
      <c r="Y151" s="0" t="s">
        <v>2468</v>
      </c>
      <c r="Z151" s="0" t="s">
        <v>2400</v>
      </c>
      <c r="AA151" s="0" t="s">
        <v>2461</v>
      </c>
      <c r="AB151" s="0" t="s">
        <v>2461</v>
      </c>
      <c r="AC151" s="0" t="s">
        <v>2461</v>
      </c>
      <c r="AD151" s="0" t="s">
        <v>2461</v>
      </c>
      <c r="AE151" s="0" t="s">
        <v>2461</v>
      </c>
      <c r="AF151" s="0" t="s">
        <v>2461</v>
      </c>
      <c r="AG151" s="0" t="s">
        <v>2463</v>
      </c>
      <c r="AH151" s="0" t="s">
        <v>2463</v>
      </c>
      <c r="AI151" s="0" t="s">
        <v>2463</v>
      </c>
      <c r="AJ151" s="0" t="s">
        <v>2463</v>
      </c>
      <c r="AK151" s="0" t="s">
        <v>2463</v>
      </c>
      <c r="AL151" s="0" t="s">
        <v>2463</v>
      </c>
      <c r="AM151" s="0" t="s">
        <v>2463</v>
      </c>
      <c r="AN151" s="0" t="s">
        <v>210</v>
      </c>
      <c r="AO151" s="0" t="s">
        <v>278</v>
      </c>
      <c r="AP151" s="0" t="s">
        <v>2469</v>
      </c>
      <c r="AQ151" s="0" t="s">
        <v>2469</v>
      </c>
      <c r="AR151" s="0" t="s">
        <v>2469</v>
      </c>
      <c r="AS151" s="0" t="s">
        <v>2469</v>
      </c>
      <c r="AT151" s="0" t="s">
        <v>290</v>
      </c>
      <c r="AU151" s="0" t="s">
        <v>2461</v>
      </c>
      <c r="AV151" s="0" t="s">
        <v>2470</v>
      </c>
      <c r="AW151" s="0" t="s">
        <v>1382</v>
      </c>
      <c r="AX151" s="0" t="s">
        <v>1382</v>
      </c>
      <c r="AY151" s="0" t="s">
        <v>2384</v>
      </c>
      <c r="AZ151" s="0" t="s">
        <v>2465</v>
      </c>
      <c r="BA151" s="0" t="s">
        <v>2460</v>
      </c>
      <c r="BB151" s="0" t="s">
        <v>2460</v>
      </c>
    </row>
    <row r="152" customFormat="false" ht="12.75" hidden="false" customHeight="false" outlineLevel="0" collapsed="false">
      <c r="C152" s="657" t="s">
        <v>1382</v>
      </c>
      <c r="D152" s="0" t="s">
        <v>2461</v>
      </c>
      <c r="E152" s="0" t="s">
        <v>2461</v>
      </c>
      <c r="F152" s="0" t="s">
        <v>2461</v>
      </c>
      <c r="G152" s="0" t="s">
        <v>2429</v>
      </c>
      <c r="H152" s="0" t="s">
        <v>2469</v>
      </c>
      <c r="I152" s="0" t="s">
        <v>269</v>
      </c>
      <c r="J152" s="0" t="s">
        <v>2471</v>
      </c>
      <c r="K152" s="0" t="s">
        <v>2447</v>
      </c>
      <c r="L152" s="0" t="s">
        <v>2465</v>
      </c>
      <c r="M152" s="210" t="s">
        <v>2472</v>
      </c>
      <c r="N152" s="0" t="s">
        <v>2465</v>
      </c>
      <c r="O152" s="0" t="s">
        <v>2461</v>
      </c>
      <c r="P152" s="0" t="s">
        <v>2447</v>
      </c>
      <c r="Q152" s="0" t="s">
        <v>2465</v>
      </c>
      <c r="R152" s="0" t="s">
        <v>2461</v>
      </c>
      <c r="S152" s="0" t="s">
        <v>2473</v>
      </c>
      <c r="T152" s="0" t="s">
        <v>2447</v>
      </c>
      <c r="U152" s="0" t="s">
        <v>2447</v>
      </c>
      <c r="V152" s="0" t="s">
        <v>2447</v>
      </c>
      <c r="W152" s="0" t="s">
        <v>1382</v>
      </c>
      <c r="X152" s="0" t="s">
        <v>1382</v>
      </c>
      <c r="Y152" s="0" t="s">
        <v>2468</v>
      </c>
      <c r="Z152" s="0" t="s">
        <v>296</v>
      </c>
      <c r="AA152" s="0" t="s">
        <v>2447</v>
      </c>
      <c r="AB152" s="0" t="s">
        <v>2447</v>
      </c>
      <c r="AC152" s="0" t="s">
        <v>2447</v>
      </c>
      <c r="AD152" s="0" t="s">
        <v>2447</v>
      </c>
      <c r="AE152" s="0" t="s">
        <v>2464</v>
      </c>
      <c r="AF152" s="0" t="s">
        <v>2464</v>
      </c>
      <c r="AG152" s="0" t="s">
        <v>2471</v>
      </c>
      <c r="AH152" s="0" t="s">
        <v>2471</v>
      </c>
      <c r="AI152" s="0" t="s">
        <v>2471</v>
      </c>
      <c r="AJ152" s="0" t="s">
        <v>2471</v>
      </c>
      <c r="AK152" s="0" t="s">
        <v>2471</v>
      </c>
      <c r="AL152" s="0" t="s">
        <v>2471</v>
      </c>
      <c r="AM152" s="0" t="s">
        <v>2471</v>
      </c>
      <c r="AN152" s="0" t="s">
        <v>2446</v>
      </c>
      <c r="AO152" s="0" t="s">
        <v>2446</v>
      </c>
      <c r="AP152" s="0" t="s">
        <v>310</v>
      </c>
      <c r="AQ152" s="0" t="s">
        <v>310</v>
      </c>
      <c r="AR152" s="0" t="s">
        <v>310</v>
      </c>
      <c r="AS152" s="0" t="s">
        <v>310</v>
      </c>
      <c r="AT152" s="0" t="s">
        <v>2474</v>
      </c>
      <c r="AU152" s="0" t="s">
        <v>256</v>
      </c>
      <c r="AV152" s="0" t="s">
        <v>2439</v>
      </c>
      <c r="AW152" s="0" t="s">
        <v>646</v>
      </c>
      <c r="AX152" s="0" t="s">
        <v>646</v>
      </c>
      <c r="AY152" s="0" t="s">
        <v>2399</v>
      </c>
      <c r="AZ152" s="0" t="s">
        <v>2465</v>
      </c>
      <c r="BA152" s="0" t="s">
        <v>2461</v>
      </c>
      <c r="BB152" s="0" t="s">
        <v>2461</v>
      </c>
    </row>
    <row r="153" customFormat="false" ht="12.75" hidden="false" customHeight="false" outlineLevel="0" collapsed="false">
      <c r="C153" s="657" t="s">
        <v>269</v>
      </c>
      <c r="D153" s="0" t="s">
        <v>2417</v>
      </c>
      <c r="E153" s="0" t="s">
        <v>2417</v>
      </c>
      <c r="F153" s="0" t="s">
        <v>2417</v>
      </c>
      <c r="G153" s="0" t="s">
        <v>2438</v>
      </c>
      <c r="H153" s="0" t="s">
        <v>2464</v>
      </c>
      <c r="I153" s="0" t="s">
        <v>2475</v>
      </c>
      <c r="J153" s="0" t="s">
        <v>2452</v>
      </c>
      <c r="K153" s="0" t="s">
        <v>2417</v>
      </c>
      <c r="L153" s="0" t="s">
        <v>2476</v>
      </c>
      <c r="M153" s="210" t="s">
        <v>1382</v>
      </c>
      <c r="N153" s="0" t="s">
        <v>2465</v>
      </c>
      <c r="O153" s="0" t="s">
        <v>2473</v>
      </c>
      <c r="P153" s="0" t="s">
        <v>2417</v>
      </c>
      <c r="Q153" s="0" t="s">
        <v>2465</v>
      </c>
      <c r="R153" s="0" t="s">
        <v>2477</v>
      </c>
      <c r="S153" s="0" t="s">
        <v>2478</v>
      </c>
      <c r="T153" s="0" t="s">
        <v>2417</v>
      </c>
      <c r="U153" s="0" t="s">
        <v>2417</v>
      </c>
      <c r="V153" s="0" t="s">
        <v>2417</v>
      </c>
      <c r="W153" s="0" t="s">
        <v>2464</v>
      </c>
      <c r="X153" s="0" t="s">
        <v>2464</v>
      </c>
      <c r="Y153" s="0" t="s">
        <v>2460</v>
      </c>
      <c r="Z153" s="0" t="s">
        <v>1382</v>
      </c>
      <c r="AA153" s="0" t="s">
        <v>2479</v>
      </c>
      <c r="AB153" s="0" t="s">
        <v>2479</v>
      </c>
      <c r="AC153" s="0" t="s">
        <v>2479</v>
      </c>
      <c r="AD153" s="0" t="s">
        <v>2479</v>
      </c>
      <c r="AE153" s="0" t="s">
        <v>2479</v>
      </c>
      <c r="AF153" s="0" t="s">
        <v>2479</v>
      </c>
      <c r="AG153" s="0" t="s">
        <v>2452</v>
      </c>
      <c r="AH153" s="0" t="s">
        <v>2452</v>
      </c>
      <c r="AI153" s="0" t="s">
        <v>2452</v>
      </c>
      <c r="AJ153" s="0" t="s">
        <v>2452</v>
      </c>
      <c r="AK153" s="0" t="s">
        <v>2452</v>
      </c>
      <c r="AL153" s="0" t="s">
        <v>2452</v>
      </c>
      <c r="AM153" s="0" t="s">
        <v>2452</v>
      </c>
      <c r="AN153" s="0" t="s">
        <v>310</v>
      </c>
      <c r="AO153" s="0" t="s">
        <v>310</v>
      </c>
      <c r="AP153" s="0" t="s">
        <v>2470</v>
      </c>
      <c r="AQ153" s="0" t="s">
        <v>2470</v>
      </c>
      <c r="AR153" s="0" t="s">
        <v>2470</v>
      </c>
      <c r="AS153" s="0" t="s">
        <v>2470</v>
      </c>
      <c r="AT153" s="0" t="s">
        <v>2461</v>
      </c>
      <c r="AU153" s="0" t="s">
        <v>210</v>
      </c>
      <c r="AV153" s="0" t="s">
        <v>2480</v>
      </c>
      <c r="AW153" s="0" t="s">
        <v>2452</v>
      </c>
      <c r="AX153" s="0" t="s">
        <v>2452</v>
      </c>
      <c r="AY153" s="0" t="s">
        <v>2481</v>
      </c>
      <c r="AZ153" s="0" t="s">
        <v>2465</v>
      </c>
      <c r="BA153" s="0" t="s">
        <v>2473</v>
      </c>
      <c r="BB153" s="0" t="s">
        <v>2473</v>
      </c>
    </row>
    <row r="154" customFormat="false" ht="12.75" hidden="false" customHeight="false" outlineLevel="0" collapsed="false">
      <c r="C154" s="657" t="s">
        <v>2464</v>
      </c>
      <c r="D154" s="0" t="s">
        <v>2482</v>
      </c>
      <c r="E154" s="0" t="s">
        <v>2482</v>
      </c>
      <c r="F154" s="0" t="s">
        <v>2482</v>
      </c>
      <c r="G154" s="0" t="s">
        <v>2483</v>
      </c>
      <c r="H154" s="0" t="s">
        <v>646</v>
      </c>
      <c r="I154" s="0" t="s">
        <v>2439</v>
      </c>
      <c r="J154" s="0" t="s">
        <v>2484</v>
      </c>
      <c r="K154" s="0" t="s">
        <v>2452</v>
      </c>
      <c r="L154" s="0" t="s">
        <v>210</v>
      </c>
      <c r="M154" s="210" t="s">
        <v>2410</v>
      </c>
      <c r="N154" s="0" t="s">
        <v>218</v>
      </c>
      <c r="O154" s="0" t="s">
        <v>2447</v>
      </c>
      <c r="P154" s="0" t="s">
        <v>2439</v>
      </c>
      <c r="Q154" s="0" t="s">
        <v>2485</v>
      </c>
      <c r="R154" s="0" t="s">
        <v>2439</v>
      </c>
      <c r="S154" s="0" t="s">
        <v>2486</v>
      </c>
      <c r="T154" s="0" t="s">
        <v>2452</v>
      </c>
      <c r="U154" s="0" t="s">
        <v>2452</v>
      </c>
      <c r="V154" s="0" t="s">
        <v>2452</v>
      </c>
      <c r="W154" s="0" t="s">
        <v>2446</v>
      </c>
      <c r="X154" s="0" t="s">
        <v>2446</v>
      </c>
      <c r="Y154" s="0" t="s">
        <v>2469</v>
      </c>
      <c r="Z154" s="0" t="s">
        <v>2487</v>
      </c>
      <c r="AA154" s="0" t="s">
        <v>646</v>
      </c>
      <c r="AB154" s="0" t="s">
        <v>646</v>
      </c>
      <c r="AC154" s="0" t="s">
        <v>646</v>
      </c>
      <c r="AD154" s="0" t="s">
        <v>646</v>
      </c>
      <c r="AE154" s="0" t="s">
        <v>367</v>
      </c>
      <c r="AF154" s="0" t="s">
        <v>367</v>
      </c>
      <c r="AG154" s="0" t="s">
        <v>2484</v>
      </c>
      <c r="AH154" s="0" t="s">
        <v>2484</v>
      </c>
      <c r="AI154" s="0" t="s">
        <v>2484</v>
      </c>
      <c r="AJ154" s="0" t="s">
        <v>2484</v>
      </c>
      <c r="AK154" s="0" t="s">
        <v>2484</v>
      </c>
      <c r="AL154" s="0" t="s">
        <v>2484</v>
      </c>
      <c r="AM154" s="0" t="s">
        <v>2484</v>
      </c>
      <c r="AN154" s="0" t="s">
        <v>2439</v>
      </c>
      <c r="AO154" s="0" t="s">
        <v>2439</v>
      </c>
      <c r="AP154" s="0" t="s">
        <v>2478</v>
      </c>
      <c r="AQ154" s="0" t="s">
        <v>2478</v>
      </c>
      <c r="AR154" s="0" t="s">
        <v>2478</v>
      </c>
      <c r="AS154" s="0" t="s">
        <v>2478</v>
      </c>
      <c r="AT154" s="0" t="s">
        <v>2473</v>
      </c>
      <c r="AU154" s="0" t="s">
        <v>2488</v>
      </c>
      <c r="AV154" s="0" t="s">
        <v>2489</v>
      </c>
      <c r="AW154" s="0" t="s">
        <v>2490</v>
      </c>
      <c r="AX154" s="0" t="s">
        <v>2490</v>
      </c>
      <c r="AY154" s="0" t="s">
        <v>2460</v>
      </c>
      <c r="AZ154" s="0" t="s">
        <v>2485</v>
      </c>
      <c r="BA154" s="0" t="s">
        <v>2447</v>
      </c>
      <c r="BB154" s="0" t="s">
        <v>2447</v>
      </c>
    </row>
    <row r="155" customFormat="false" ht="12.75" hidden="false" customHeight="false" outlineLevel="0" collapsed="false">
      <c r="C155" s="657" t="s">
        <v>2432</v>
      </c>
      <c r="D155" s="0" t="s">
        <v>2484</v>
      </c>
      <c r="E155" s="0" t="s">
        <v>2484</v>
      </c>
      <c r="F155" s="0" t="s">
        <v>2484</v>
      </c>
      <c r="G155" s="0" t="s">
        <v>2475</v>
      </c>
      <c r="H155" s="0" t="s">
        <v>2489</v>
      </c>
      <c r="I155" s="0" t="s">
        <v>2489</v>
      </c>
      <c r="J155" s="0" t="s">
        <v>386</v>
      </c>
      <c r="K155" s="0" t="s">
        <v>2491</v>
      </c>
      <c r="L155" s="0" t="s">
        <v>2492</v>
      </c>
      <c r="M155" s="210" t="s">
        <v>2489</v>
      </c>
      <c r="N155" s="0" t="s">
        <v>2493</v>
      </c>
      <c r="O155" s="0" t="s">
        <v>646</v>
      </c>
      <c r="P155" s="0" t="s">
        <v>2494</v>
      </c>
      <c r="Q155" s="0" t="s">
        <v>2430</v>
      </c>
      <c r="R155" s="0" t="s">
        <v>2486</v>
      </c>
      <c r="S155" s="0" t="s">
        <v>2495</v>
      </c>
      <c r="T155" s="0" t="s">
        <v>2491</v>
      </c>
      <c r="U155" s="0" t="s">
        <v>2491</v>
      </c>
      <c r="V155" s="0" t="s">
        <v>2491</v>
      </c>
      <c r="W155" s="0" t="s">
        <v>2473</v>
      </c>
      <c r="X155" s="0" t="s">
        <v>2473</v>
      </c>
      <c r="Y155" s="0" t="s">
        <v>2438</v>
      </c>
      <c r="Z155" s="0" t="s">
        <v>310</v>
      </c>
      <c r="AA155" s="0" t="s">
        <v>2496</v>
      </c>
      <c r="AB155" s="0" t="s">
        <v>2496</v>
      </c>
      <c r="AC155" s="0" t="s">
        <v>2496</v>
      </c>
      <c r="AD155" s="0" t="s">
        <v>2496</v>
      </c>
      <c r="AE155" s="0" t="s">
        <v>2482</v>
      </c>
      <c r="AF155" s="0" t="s">
        <v>2482</v>
      </c>
      <c r="AG155" s="0" t="s">
        <v>386</v>
      </c>
      <c r="AH155" s="0" t="s">
        <v>386</v>
      </c>
      <c r="AI155" s="0" t="s">
        <v>386</v>
      </c>
      <c r="AJ155" s="0" t="s">
        <v>386</v>
      </c>
      <c r="AK155" s="0" t="s">
        <v>386</v>
      </c>
      <c r="AL155" s="0" t="s">
        <v>386</v>
      </c>
      <c r="AM155" s="0" t="s">
        <v>386</v>
      </c>
      <c r="AN155" s="0" t="s">
        <v>2480</v>
      </c>
      <c r="AO155" s="0" t="s">
        <v>2480</v>
      </c>
      <c r="AP155" s="0" t="s">
        <v>2497</v>
      </c>
      <c r="AQ155" s="0" t="s">
        <v>2497</v>
      </c>
      <c r="AR155" s="0" t="s">
        <v>2497</v>
      </c>
      <c r="AS155" s="0" t="s">
        <v>2497</v>
      </c>
      <c r="AT155" s="0" t="s">
        <v>2486</v>
      </c>
      <c r="AU155" s="0" t="s">
        <v>2498</v>
      </c>
      <c r="AV155" s="0" t="s">
        <v>2499</v>
      </c>
      <c r="AW155" s="0" t="s">
        <v>2482</v>
      </c>
      <c r="AX155" s="0" t="s">
        <v>2482</v>
      </c>
      <c r="AY155" s="0" t="s">
        <v>2500</v>
      </c>
      <c r="AZ155" s="0" t="s">
        <v>2486</v>
      </c>
      <c r="BA155" s="0" t="s">
        <v>2492</v>
      </c>
      <c r="BB155" s="0" t="s">
        <v>2492</v>
      </c>
    </row>
    <row r="156" customFormat="false" ht="12.75" hidden="false" customHeight="false" outlineLevel="0" collapsed="false">
      <c r="C156" s="657" t="s">
        <v>2446</v>
      </c>
      <c r="D156" s="0" t="s">
        <v>2419</v>
      </c>
      <c r="E156" s="0" t="s">
        <v>2419</v>
      </c>
      <c r="F156" s="0" t="s">
        <v>2419</v>
      </c>
      <c r="G156" s="0" t="s">
        <v>2478</v>
      </c>
      <c r="H156" s="0" t="s">
        <v>381</v>
      </c>
      <c r="I156" s="0" t="s">
        <v>2501</v>
      </c>
      <c r="J156" s="0" t="s">
        <v>2386</v>
      </c>
      <c r="K156" s="0" t="s">
        <v>2444</v>
      </c>
      <c r="L156" s="0" t="s">
        <v>2501</v>
      </c>
      <c r="M156" s="210" t="s">
        <v>2490</v>
      </c>
      <c r="N156" s="0" t="s">
        <v>2470</v>
      </c>
      <c r="O156" s="0" t="s">
        <v>367</v>
      </c>
      <c r="P156" s="0" t="s">
        <v>2492</v>
      </c>
      <c r="Q156" s="0" t="s">
        <v>2447</v>
      </c>
      <c r="R156" s="0" t="s">
        <v>2449</v>
      </c>
      <c r="S156" s="0" t="s">
        <v>2452</v>
      </c>
      <c r="T156" s="0" t="s">
        <v>2444</v>
      </c>
      <c r="U156" s="0" t="s">
        <v>2444</v>
      </c>
      <c r="V156" s="0" t="s">
        <v>2444</v>
      </c>
      <c r="W156" s="0" t="s">
        <v>2452</v>
      </c>
      <c r="X156" s="0" t="s">
        <v>2452</v>
      </c>
      <c r="Y156" s="0" t="s">
        <v>2483</v>
      </c>
      <c r="Z156" s="0" t="s">
        <v>2439</v>
      </c>
      <c r="AA156" s="0" t="s">
        <v>393</v>
      </c>
      <c r="AB156" s="0" t="s">
        <v>393</v>
      </c>
      <c r="AC156" s="0" t="s">
        <v>393</v>
      </c>
      <c r="AD156" s="0" t="s">
        <v>393</v>
      </c>
      <c r="AE156" s="0" t="s">
        <v>2496</v>
      </c>
      <c r="AF156" s="0" t="s">
        <v>2496</v>
      </c>
      <c r="AG156" s="0" t="s">
        <v>2386</v>
      </c>
      <c r="AH156" s="0" t="s">
        <v>2386</v>
      </c>
      <c r="AI156" s="0" t="s">
        <v>2386</v>
      </c>
      <c r="AJ156" s="0" t="s">
        <v>2386</v>
      </c>
      <c r="AK156" s="0" t="s">
        <v>2386</v>
      </c>
      <c r="AL156" s="0" t="s">
        <v>2386</v>
      </c>
      <c r="AM156" s="0" t="s">
        <v>2386</v>
      </c>
      <c r="AN156" s="0" t="s">
        <v>2452</v>
      </c>
      <c r="AO156" s="0" t="s">
        <v>2452</v>
      </c>
      <c r="AP156" s="0" t="s">
        <v>2489</v>
      </c>
      <c r="AQ156" s="0" t="s">
        <v>2489</v>
      </c>
      <c r="AR156" s="0" t="s">
        <v>2489</v>
      </c>
      <c r="AS156" s="0" t="s">
        <v>2489</v>
      </c>
      <c r="AT156" s="0" t="s">
        <v>2496</v>
      </c>
      <c r="AU156" s="0" t="s">
        <v>2502</v>
      </c>
      <c r="AV156" s="0" t="s">
        <v>2503</v>
      </c>
      <c r="AW156" s="0" t="s">
        <v>2504</v>
      </c>
      <c r="AX156" s="0" t="s">
        <v>2504</v>
      </c>
      <c r="AY156" s="0" t="s">
        <v>2447</v>
      </c>
      <c r="AZ156" s="0" t="s">
        <v>2505</v>
      </c>
      <c r="BA156" s="0" t="s">
        <v>2484</v>
      </c>
      <c r="BB156" s="0" t="s">
        <v>2484</v>
      </c>
    </row>
    <row r="157" customFormat="false" ht="12.75" hidden="false" customHeight="false" outlineLevel="0" collapsed="false">
      <c r="C157" s="657" t="s">
        <v>386</v>
      </c>
      <c r="D157" s="0" t="s">
        <v>2506</v>
      </c>
      <c r="E157" s="0" t="s">
        <v>2506</v>
      </c>
      <c r="F157" s="0" t="s">
        <v>2506</v>
      </c>
      <c r="G157" s="0" t="s">
        <v>2501</v>
      </c>
      <c r="H157" s="0" t="s">
        <v>2496</v>
      </c>
      <c r="I157" s="0" t="s">
        <v>2419</v>
      </c>
      <c r="J157" s="0" t="s">
        <v>2507</v>
      </c>
      <c r="K157" s="0" t="s">
        <v>2419</v>
      </c>
      <c r="L157" s="0" t="s">
        <v>2504</v>
      </c>
      <c r="M157" s="210" t="s">
        <v>2459</v>
      </c>
      <c r="N157" s="0" t="s">
        <v>2508</v>
      </c>
      <c r="O157" s="0" t="s">
        <v>2449</v>
      </c>
      <c r="P157" s="0" t="s">
        <v>2452</v>
      </c>
      <c r="Q157" s="0" t="s">
        <v>2486</v>
      </c>
      <c r="R157" s="0" t="s">
        <v>2509</v>
      </c>
      <c r="S157" s="0" t="s">
        <v>2490</v>
      </c>
      <c r="T157" s="0" t="s">
        <v>2419</v>
      </c>
      <c r="U157" s="0" t="s">
        <v>2419</v>
      </c>
      <c r="V157" s="0" t="s">
        <v>2419</v>
      </c>
      <c r="W157" s="0" t="s">
        <v>2496</v>
      </c>
      <c r="X157" s="0" t="s">
        <v>2496</v>
      </c>
      <c r="Y157" s="0" t="s">
        <v>2510</v>
      </c>
      <c r="Z157" s="0" t="s">
        <v>2505</v>
      </c>
      <c r="AA157" s="0" t="s">
        <v>2504</v>
      </c>
      <c r="AB157" s="0" t="s">
        <v>2504</v>
      </c>
      <c r="AC157" s="0" t="s">
        <v>2504</v>
      </c>
      <c r="AD157" s="0" t="s">
        <v>2504</v>
      </c>
      <c r="AE157" s="0" t="s">
        <v>2504</v>
      </c>
      <c r="AF157" s="0" t="s">
        <v>2504</v>
      </c>
      <c r="AG157" s="0" t="s">
        <v>2507</v>
      </c>
      <c r="AH157" s="0" t="s">
        <v>2507</v>
      </c>
      <c r="AI157" s="0" t="s">
        <v>2507</v>
      </c>
      <c r="AJ157" s="0" t="s">
        <v>2507</v>
      </c>
      <c r="AK157" s="0" t="s">
        <v>2507</v>
      </c>
      <c r="AL157" s="0" t="s">
        <v>2507</v>
      </c>
      <c r="AM157" s="0" t="s">
        <v>2507</v>
      </c>
      <c r="AN157" s="0" t="s">
        <v>2488</v>
      </c>
      <c r="AO157" s="0" t="s">
        <v>2488</v>
      </c>
      <c r="AP157" s="0" t="s">
        <v>2511</v>
      </c>
      <c r="AQ157" s="0" t="s">
        <v>2511</v>
      </c>
      <c r="AR157" s="0" t="s">
        <v>2511</v>
      </c>
      <c r="AS157" s="0" t="s">
        <v>2511</v>
      </c>
      <c r="AT157" s="0" t="s">
        <v>2504</v>
      </c>
      <c r="AU157" s="0" t="s">
        <v>1009</v>
      </c>
      <c r="AV157" s="0" t="s">
        <v>2511</v>
      </c>
      <c r="AW157" s="0" t="s">
        <v>2449</v>
      </c>
      <c r="AX157" s="0" t="s">
        <v>2449</v>
      </c>
      <c r="AY157" s="0" t="s">
        <v>2439</v>
      </c>
      <c r="AZ157" s="0" t="s">
        <v>2499</v>
      </c>
      <c r="BA157" s="0" t="s">
        <v>2419</v>
      </c>
      <c r="BB157" s="0" t="s">
        <v>2419</v>
      </c>
    </row>
    <row r="158" customFormat="false" ht="12.75" hidden="false" customHeight="false" outlineLevel="0" collapsed="false">
      <c r="C158" s="657" t="s">
        <v>2386</v>
      </c>
      <c r="D158" s="0" t="s">
        <v>2512</v>
      </c>
      <c r="E158" s="0" t="s">
        <v>2512</v>
      </c>
      <c r="F158" s="0" t="s">
        <v>2512</v>
      </c>
      <c r="G158" s="0" t="s">
        <v>2513</v>
      </c>
      <c r="H158" s="0" t="s">
        <v>2514</v>
      </c>
      <c r="I158" s="0" t="s">
        <v>2515</v>
      </c>
      <c r="J158" s="0" t="s">
        <v>2419</v>
      </c>
      <c r="K158" s="0" t="s">
        <v>2506</v>
      </c>
      <c r="L158" s="0" t="s">
        <v>2512</v>
      </c>
      <c r="M158" s="210" t="s">
        <v>2509</v>
      </c>
      <c r="N158" s="0" t="s">
        <v>2499</v>
      </c>
      <c r="O158" s="0" t="s">
        <v>2459</v>
      </c>
      <c r="P158" s="0" t="s">
        <v>2419</v>
      </c>
      <c r="Q158" s="0" t="s">
        <v>2445</v>
      </c>
      <c r="R158" s="0" t="s">
        <v>2514</v>
      </c>
      <c r="S158" s="0" t="s">
        <v>2504</v>
      </c>
      <c r="T158" s="0" t="s">
        <v>2506</v>
      </c>
      <c r="U158" s="0" t="s">
        <v>2506</v>
      </c>
      <c r="V158" s="0" t="s">
        <v>2506</v>
      </c>
      <c r="W158" s="0" t="s">
        <v>2516</v>
      </c>
      <c r="X158" s="0" t="s">
        <v>2516</v>
      </c>
      <c r="Y158" s="0" t="s">
        <v>2517</v>
      </c>
      <c r="Z158" s="0" t="s">
        <v>204</v>
      </c>
      <c r="AA158" s="0" t="s">
        <v>2514</v>
      </c>
      <c r="AB158" s="0" t="s">
        <v>2514</v>
      </c>
      <c r="AC158" s="0" t="s">
        <v>2514</v>
      </c>
      <c r="AD158" s="0" t="s">
        <v>2514</v>
      </c>
      <c r="AE158" s="0" t="s">
        <v>2518</v>
      </c>
      <c r="AF158" s="0" t="s">
        <v>2518</v>
      </c>
      <c r="AG158" s="0" t="s">
        <v>2419</v>
      </c>
      <c r="AH158" s="0" t="s">
        <v>2419</v>
      </c>
      <c r="AI158" s="0" t="s">
        <v>2419</v>
      </c>
      <c r="AJ158" s="0" t="s">
        <v>2419</v>
      </c>
      <c r="AK158" s="0" t="s">
        <v>2419</v>
      </c>
      <c r="AL158" s="0" t="s">
        <v>2419</v>
      </c>
      <c r="AM158" s="0" t="s">
        <v>2419</v>
      </c>
      <c r="AN158" s="0" t="s">
        <v>2511</v>
      </c>
      <c r="AO158" s="0" t="s">
        <v>2511</v>
      </c>
      <c r="AP158" s="0" t="s">
        <v>2519</v>
      </c>
      <c r="AQ158" s="0" t="s">
        <v>2519</v>
      </c>
      <c r="AR158" s="0" t="s">
        <v>2519</v>
      </c>
      <c r="AS158" s="0" t="s">
        <v>2519</v>
      </c>
      <c r="AT158" s="0" t="s">
        <v>2449</v>
      </c>
      <c r="AU158" s="0" t="s">
        <v>2520</v>
      </c>
      <c r="AV158" s="0" t="s">
        <v>2454</v>
      </c>
      <c r="AW158" s="0" t="s">
        <v>2509</v>
      </c>
      <c r="AX158" s="0" t="s">
        <v>2509</v>
      </c>
      <c r="AY158" s="0" t="s">
        <v>2511</v>
      </c>
      <c r="AZ158" s="0" t="s">
        <v>2504</v>
      </c>
      <c r="BA158" s="0" t="s">
        <v>2512</v>
      </c>
      <c r="BB158" s="0" t="s">
        <v>2512</v>
      </c>
    </row>
    <row r="159" customFormat="false" ht="12.75" hidden="false" customHeight="false" outlineLevel="0" collapsed="false">
      <c r="M159" s="210"/>
    </row>
    <row r="160" customFormat="false" ht="12.75" hidden="false" customHeight="false" outlineLevel="0" collapsed="false">
      <c r="C160" s="657" t="s">
        <v>2521</v>
      </c>
      <c r="D160" s="0" t="s">
        <v>2522</v>
      </c>
      <c r="E160" s="0" t="s">
        <v>2522</v>
      </c>
      <c r="F160" s="0" t="s">
        <v>2522</v>
      </c>
      <c r="G160" s="0" t="s">
        <v>1382</v>
      </c>
      <c r="H160" s="0" t="s">
        <v>2521</v>
      </c>
      <c r="I160" s="0" t="s">
        <v>2460</v>
      </c>
      <c r="J160" s="0" t="s">
        <v>2461</v>
      </c>
      <c r="K160" s="0" t="s">
        <v>2481</v>
      </c>
      <c r="L160" s="0" t="s">
        <v>2523</v>
      </c>
      <c r="M160" s="210" t="s">
        <v>2524</v>
      </c>
      <c r="N160" s="0" t="s">
        <v>2525</v>
      </c>
      <c r="O160" s="0" t="s">
        <v>2526</v>
      </c>
      <c r="P160" s="0" t="s">
        <v>1382</v>
      </c>
      <c r="Q160" s="0" t="s">
        <v>2524</v>
      </c>
      <c r="R160" s="0" t="s">
        <v>2527</v>
      </c>
      <c r="S160" s="0" t="s">
        <v>2522</v>
      </c>
      <c r="T160" s="0" t="s">
        <v>2481</v>
      </c>
      <c r="U160" s="0" t="s">
        <v>2481</v>
      </c>
      <c r="V160" s="0" t="s">
        <v>2481</v>
      </c>
      <c r="W160" s="0" t="s">
        <v>2466</v>
      </c>
      <c r="X160" s="0" t="s">
        <v>2466</v>
      </c>
      <c r="Y160" s="0" t="s">
        <v>2528</v>
      </c>
      <c r="Z160" s="0" t="s">
        <v>2467</v>
      </c>
      <c r="AA160" s="0" t="s">
        <v>2529</v>
      </c>
      <c r="AB160" s="0" t="s">
        <v>2529</v>
      </c>
      <c r="AC160" s="0" t="s">
        <v>2529</v>
      </c>
      <c r="AD160" s="0" t="s">
        <v>2529</v>
      </c>
      <c r="AE160" s="0" t="s">
        <v>2524</v>
      </c>
      <c r="AF160" s="0" t="s">
        <v>2524</v>
      </c>
      <c r="AG160" s="0" t="s">
        <v>2461</v>
      </c>
      <c r="AH160" s="0" t="s">
        <v>2461</v>
      </c>
      <c r="AI160" s="0" t="s">
        <v>2461</v>
      </c>
      <c r="AJ160" s="0" t="s">
        <v>2461</v>
      </c>
      <c r="AK160" s="0" t="s">
        <v>2461</v>
      </c>
      <c r="AL160" s="0" t="s">
        <v>2461</v>
      </c>
      <c r="AM160" s="0" t="s">
        <v>2461</v>
      </c>
      <c r="AN160" s="0" t="s">
        <v>2485</v>
      </c>
      <c r="AO160" s="0" t="s">
        <v>2485</v>
      </c>
      <c r="AP160" s="0" t="s">
        <v>2526</v>
      </c>
      <c r="AQ160" s="0" t="s">
        <v>2526</v>
      </c>
      <c r="AR160" s="0" t="s">
        <v>2526</v>
      </c>
      <c r="AS160" s="0" t="s">
        <v>2526</v>
      </c>
      <c r="AT160" s="0" t="s">
        <v>2524</v>
      </c>
      <c r="AU160" s="0" t="s">
        <v>2465</v>
      </c>
      <c r="AV160" s="0" t="s">
        <v>2467</v>
      </c>
      <c r="AW160" s="0" t="s">
        <v>2522</v>
      </c>
      <c r="AX160" s="0" t="s">
        <v>2522</v>
      </c>
      <c r="AY160" s="0" t="s">
        <v>2530</v>
      </c>
      <c r="AZ160" s="0" t="s">
        <v>2469</v>
      </c>
      <c r="BA160" s="0" t="s">
        <v>2481</v>
      </c>
      <c r="BB160" s="0" t="s">
        <v>2481</v>
      </c>
    </row>
    <row r="161" customFormat="false" ht="12.75" hidden="false" customHeight="false" outlineLevel="0" collapsed="false">
      <c r="C161" s="657" t="s">
        <v>2466</v>
      </c>
      <c r="D161" s="0" t="s">
        <v>1382</v>
      </c>
      <c r="E161" s="0" t="s">
        <v>1382</v>
      </c>
      <c r="F161" s="0" t="s">
        <v>1382</v>
      </c>
      <c r="G161" s="0" t="s">
        <v>2531</v>
      </c>
      <c r="H161" s="0" t="s">
        <v>2466</v>
      </c>
      <c r="I161" s="0" t="s">
        <v>2466</v>
      </c>
      <c r="J161" s="0" t="s">
        <v>2469</v>
      </c>
      <c r="K161" s="0" t="s">
        <v>2530</v>
      </c>
      <c r="L161" s="0" t="s">
        <v>2532</v>
      </c>
      <c r="M161" s="210" t="s">
        <v>2479</v>
      </c>
      <c r="N161" s="0" t="s">
        <v>2522</v>
      </c>
      <c r="O161" s="0" t="s">
        <v>2522</v>
      </c>
      <c r="P161" s="0" t="s">
        <v>2469</v>
      </c>
      <c r="Q161" s="0" t="s">
        <v>2533</v>
      </c>
      <c r="R161" s="0" t="s">
        <v>2524</v>
      </c>
      <c r="S161" s="0" t="s">
        <v>2534</v>
      </c>
      <c r="T161" s="0" t="s">
        <v>2530</v>
      </c>
      <c r="U161" s="0" t="s">
        <v>2530</v>
      </c>
      <c r="V161" s="0" t="s">
        <v>2530</v>
      </c>
      <c r="W161" s="0" t="s">
        <v>2524</v>
      </c>
      <c r="X161" s="0" t="s">
        <v>2524</v>
      </c>
      <c r="Y161" s="0" t="s">
        <v>2522</v>
      </c>
      <c r="Z161" s="0" t="s">
        <v>2485</v>
      </c>
      <c r="AA161" s="0" t="s">
        <v>2478</v>
      </c>
      <c r="AB161" s="0" t="s">
        <v>2478</v>
      </c>
      <c r="AC161" s="0" t="s">
        <v>2478</v>
      </c>
      <c r="AD161" s="0" t="s">
        <v>2478</v>
      </c>
      <c r="AE161" s="0" t="s">
        <v>2535</v>
      </c>
      <c r="AF161" s="0" t="s">
        <v>2535</v>
      </c>
      <c r="AG161" s="0" t="s">
        <v>2469</v>
      </c>
      <c r="AH161" s="0" t="s">
        <v>2469</v>
      </c>
      <c r="AI161" s="0" t="s">
        <v>2469</v>
      </c>
      <c r="AJ161" s="0" t="s">
        <v>2469</v>
      </c>
      <c r="AK161" s="0" t="s">
        <v>2469</v>
      </c>
      <c r="AL161" s="0" t="s">
        <v>2469</v>
      </c>
      <c r="AM161" s="0" t="s">
        <v>2469</v>
      </c>
      <c r="AN161" s="0" t="s">
        <v>1382</v>
      </c>
      <c r="AO161" s="0" t="s">
        <v>1382</v>
      </c>
      <c r="AP161" s="0" t="s">
        <v>2466</v>
      </c>
      <c r="AQ161" s="0" t="s">
        <v>2466</v>
      </c>
      <c r="AR161" s="0" t="s">
        <v>2466</v>
      </c>
      <c r="AS161" s="0" t="s">
        <v>2466</v>
      </c>
      <c r="AT161" s="0" t="s">
        <v>2479</v>
      </c>
      <c r="AU161" s="0" t="s">
        <v>2523</v>
      </c>
      <c r="AV161" s="0" t="s">
        <v>2526</v>
      </c>
      <c r="AW161" s="0" t="s">
        <v>2535</v>
      </c>
      <c r="AX161" s="0" t="s">
        <v>2535</v>
      </c>
      <c r="AY161" s="0" t="s">
        <v>2524</v>
      </c>
      <c r="AZ161" s="0" t="s">
        <v>2523</v>
      </c>
      <c r="BA161" s="0" t="s">
        <v>1382</v>
      </c>
      <c r="BB161" s="0" t="s">
        <v>1382</v>
      </c>
    </row>
    <row r="162" customFormat="false" ht="12.75" hidden="false" customHeight="false" outlineLevel="0" collapsed="false">
      <c r="C162" s="657" t="s">
        <v>2524</v>
      </c>
      <c r="D162" s="0" t="s">
        <v>2524</v>
      </c>
      <c r="E162" s="0" t="s">
        <v>2524</v>
      </c>
      <c r="F162" s="0" t="s">
        <v>2524</v>
      </c>
      <c r="G162" s="0" t="s">
        <v>2523</v>
      </c>
      <c r="H162" s="0" t="s">
        <v>2524</v>
      </c>
      <c r="I162" s="0" t="s">
        <v>2536</v>
      </c>
      <c r="J162" s="0" t="s">
        <v>2480</v>
      </c>
      <c r="K162" s="673" t="s">
        <v>2497</v>
      </c>
      <c r="L162" s="0" t="s">
        <v>2537</v>
      </c>
      <c r="M162" s="210" t="s">
        <v>2538</v>
      </c>
      <c r="N162" s="0" t="s">
        <v>2539</v>
      </c>
      <c r="O162" s="0" t="s">
        <v>2531</v>
      </c>
      <c r="P162" s="0" t="s">
        <v>2540</v>
      </c>
      <c r="Q162" s="0" t="s">
        <v>2537</v>
      </c>
      <c r="R162" s="0" t="s">
        <v>2479</v>
      </c>
      <c r="S162" s="0" t="s">
        <v>2541</v>
      </c>
      <c r="T162" s="673" t="s">
        <v>2497</v>
      </c>
      <c r="U162" s="673" t="s">
        <v>2497</v>
      </c>
      <c r="V162" s="673" t="s">
        <v>2497</v>
      </c>
      <c r="W162" s="0" t="s">
        <v>2483</v>
      </c>
      <c r="X162" s="0" t="s">
        <v>2483</v>
      </c>
      <c r="Y162" s="0" t="s">
        <v>2530</v>
      </c>
      <c r="Z162" s="0" t="s">
        <v>2526</v>
      </c>
      <c r="AA162" s="0" t="s">
        <v>2542</v>
      </c>
      <c r="AB162" s="0" t="s">
        <v>2542</v>
      </c>
      <c r="AC162" s="0" t="s">
        <v>2542</v>
      </c>
      <c r="AD162" s="0" t="s">
        <v>2542</v>
      </c>
      <c r="AE162" s="0" t="s">
        <v>2494</v>
      </c>
      <c r="AF162" s="0" t="s">
        <v>2494</v>
      </c>
      <c r="AG162" s="0" t="s">
        <v>2480</v>
      </c>
      <c r="AH162" s="0" t="s">
        <v>2480</v>
      </c>
      <c r="AI162" s="0" t="s">
        <v>2480</v>
      </c>
      <c r="AJ162" s="0" t="s">
        <v>2480</v>
      </c>
      <c r="AK162" s="0" t="s">
        <v>2480</v>
      </c>
      <c r="AL162" s="0" t="s">
        <v>2480</v>
      </c>
      <c r="AM162" s="0" t="s">
        <v>2480</v>
      </c>
      <c r="AN162" s="0" t="s">
        <v>2534</v>
      </c>
      <c r="AO162" s="0" t="s">
        <v>2534</v>
      </c>
      <c r="AP162" s="0" t="s">
        <v>2447</v>
      </c>
      <c r="AQ162" s="0" t="s">
        <v>2447</v>
      </c>
      <c r="AR162" s="0" t="s">
        <v>2447</v>
      </c>
      <c r="AS162" s="0" t="s">
        <v>2447</v>
      </c>
      <c r="AT162" s="0" t="s">
        <v>2482</v>
      </c>
      <c r="AU162" s="0" t="s">
        <v>2490</v>
      </c>
      <c r="AV162" s="0" t="s">
        <v>2466</v>
      </c>
      <c r="AW162" s="0" t="s">
        <v>2494</v>
      </c>
      <c r="AX162" s="0" t="s">
        <v>2494</v>
      </c>
      <c r="AY162" s="0" t="s">
        <v>2494</v>
      </c>
      <c r="AZ162" s="0" t="s">
        <v>2497</v>
      </c>
      <c r="BA162" s="0" t="s">
        <v>2524</v>
      </c>
      <c r="BB162" s="0" t="s">
        <v>2524</v>
      </c>
    </row>
    <row r="163" customFormat="false" ht="12.75" hidden="false" customHeight="false" outlineLevel="0" collapsed="false">
      <c r="C163" s="657" t="s">
        <v>2478</v>
      </c>
      <c r="D163" s="0" t="s">
        <v>2478</v>
      </c>
      <c r="E163" s="0" t="s">
        <v>2478</v>
      </c>
      <c r="F163" s="0" t="s">
        <v>2478</v>
      </c>
      <c r="G163" s="0" t="s">
        <v>2492</v>
      </c>
      <c r="H163" s="0" t="s">
        <v>2494</v>
      </c>
      <c r="I163" s="0" t="s">
        <v>2478</v>
      </c>
      <c r="J163" s="0" t="s">
        <v>2499</v>
      </c>
      <c r="K163" s="0" t="s">
        <v>2543</v>
      </c>
      <c r="L163" s="0" t="s">
        <v>2537</v>
      </c>
      <c r="M163" s="210" t="s">
        <v>2533</v>
      </c>
      <c r="N163" s="0" t="s">
        <v>2537</v>
      </c>
      <c r="O163" s="0" t="s">
        <v>2524</v>
      </c>
      <c r="P163" s="0" t="s">
        <v>2497</v>
      </c>
      <c r="Q163" s="0" t="s">
        <v>2537</v>
      </c>
      <c r="R163" s="0" t="s">
        <v>2494</v>
      </c>
      <c r="S163" s="0" t="s">
        <v>2482</v>
      </c>
      <c r="T163" s="0" t="s">
        <v>2543</v>
      </c>
      <c r="U163" s="0" t="s">
        <v>2543</v>
      </c>
      <c r="V163" s="0" t="s">
        <v>2543</v>
      </c>
      <c r="W163" s="0" t="s">
        <v>2478</v>
      </c>
      <c r="X163" s="0" t="s">
        <v>2478</v>
      </c>
      <c r="Y163" s="0" t="s">
        <v>2533</v>
      </c>
      <c r="Z163" s="0" t="s">
        <v>2544</v>
      </c>
      <c r="AA163" s="0" t="s">
        <v>2494</v>
      </c>
      <c r="AB163" s="0" t="s">
        <v>2494</v>
      </c>
      <c r="AC163" s="0" t="s">
        <v>2494</v>
      </c>
      <c r="AD163" s="0" t="s">
        <v>2494</v>
      </c>
      <c r="AE163" s="0" t="s">
        <v>2490</v>
      </c>
      <c r="AF163" s="0" t="s">
        <v>2490</v>
      </c>
      <c r="AG163" s="0" t="s">
        <v>2499</v>
      </c>
      <c r="AH163" s="0" t="s">
        <v>2499</v>
      </c>
      <c r="AI163" s="0" t="s">
        <v>2499</v>
      </c>
      <c r="AJ163" s="0" t="s">
        <v>2499</v>
      </c>
      <c r="AK163" s="0" t="s">
        <v>2499</v>
      </c>
      <c r="AL163" s="0" t="s">
        <v>2499</v>
      </c>
      <c r="AM163" s="0" t="s">
        <v>2499</v>
      </c>
      <c r="AN163" s="0" t="s">
        <v>2530</v>
      </c>
      <c r="AO163" s="0" t="s">
        <v>2530</v>
      </c>
      <c r="AP163" s="0" t="s">
        <v>2499</v>
      </c>
      <c r="AQ163" s="0" t="s">
        <v>2499</v>
      </c>
      <c r="AR163" s="0" t="s">
        <v>2499</v>
      </c>
      <c r="AS163" s="0" t="s">
        <v>2499</v>
      </c>
      <c r="AT163" s="0" t="s">
        <v>2533</v>
      </c>
      <c r="AU163" s="0" t="s">
        <v>2537</v>
      </c>
      <c r="AV163" s="0" t="s">
        <v>2534</v>
      </c>
      <c r="AW163" s="0" t="s">
        <v>2533</v>
      </c>
      <c r="AX163" s="0" t="s">
        <v>2533</v>
      </c>
      <c r="AY163" s="0" t="s">
        <v>2497</v>
      </c>
      <c r="AZ163" s="0" t="s">
        <v>2537</v>
      </c>
      <c r="BA163" s="0" t="s">
        <v>646</v>
      </c>
      <c r="BB163" s="0" t="s">
        <v>646</v>
      </c>
    </row>
    <row r="164" customFormat="false" ht="12.75" hidden="false" customHeight="false" outlineLevel="0" collapsed="false">
      <c r="C164" s="657" t="s">
        <v>2497</v>
      </c>
      <c r="D164" s="0" t="s">
        <v>2533</v>
      </c>
      <c r="E164" s="0" t="s">
        <v>2533</v>
      </c>
      <c r="F164" s="0" t="s">
        <v>2533</v>
      </c>
      <c r="G164" s="0" t="s">
        <v>2504</v>
      </c>
      <c r="H164" s="0" t="s">
        <v>2484</v>
      </c>
      <c r="I164" s="0" t="s">
        <v>2533</v>
      </c>
      <c r="J164" s="0" t="s">
        <v>2533</v>
      </c>
      <c r="K164" s="0" t="s">
        <v>2492</v>
      </c>
      <c r="L164" s="0" t="s">
        <v>2545</v>
      </c>
      <c r="M164" s="210" t="s">
        <v>2546</v>
      </c>
      <c r="N164" s="0" t="s">
        <v>2537</v>
      </c>
      <c r="O164" s="0" t="s">
        <v>2538</v>
      </c>
      <c r="P164" s="0" t="s">
        <v>2547</v>
      </c>
      <c r="Q164" s="0" t="s">
        <v>2537</v>
      </c>
      <c r="R164" s="0" t="s">
        <v>2533</v>
      </c>
      <c r="S164" s="0" t="s">
        <v>2547</v>
      </c>
      <c r="T164" s="0" t="s">
        <v>2492</v>
      </c>
      <c r="U164" s="0" t="s">
        <v>2492</v>
      </c>
      <c r="V164" s="0" t="s">
        <v>2492</v>
      </c>
      <c r="W164" s="0" t="s">
        <v>2494</v>
      </c>
      <c r="X164" s="0" t="s">
        <v>2494</v>
      </c>
      <c r="Y164" s="0" t="s">
        <v>2548</v>
      </c>
      <c r="Z164" s="0" t="s">
        <v>2549</v>
      </c>
      <c r="AA164" s="0" t="s">
        <v>2482</v>
      </c>
      <c r="AB164" s="0" t="s">
        <v>2482</v>
      </c>
      <c r="AC164" s="0" t="s">
        <v>2482</v>
      </c>
      <c r="AD164" s="0" t="s">
        <v>2482</v>
      </c>
      <c r="AE164" s="0" t="s">
        <v>2533</v>
      </c>
      <c r="AF164" s="0" t="s">
        <v>2533</v>
      </c>
      <c r="AG164" s="0" t="s">
        <v>2533</v>
      </c>
      <c r="AH164" s="0" t="s">
        <v>2533</v>
      </c>
      <c r="AI164" s="0" t="s">
        <v>2533</v>
      </c>
      <c r="AJ164" s="0" t="s">
        <v>2533</v>
      </c>
      <c r="AK164" s="0" t="s">
        <v>2533</v>
      </c>
      <c r="AL164" s="0" t="s">
        <v>2533</v>
      </c>
      <c r="AM164" s="0" t="s">
        <v>2533</v>
      </c>
      <c r="AN164" s="0" t="s">
        <v>2447</v>
      </c>
      <c r="AO164" s="0" t="s">
        <v>2447</v>
      </c>
      <c r="AP164" s="0" t="s">
        <v>2533</v>
      </c>
      <c r="AQ164" s="0" t="s">
        <v>2533</v>
      </c>
      <c r="AR164" s="0" t="s">
        <v>2533</v>
      </c>
      <c r="AS164" s="0" t="s">
        <v>2533</v>
      </c>
      <c r="AT164" s="0" t="s">
        <v>2546</v>
      </c>
      <c r="AU164" s="0" t="s">
        <v>2545</v>
      </c>
      <c r="AV164" s="0" t="s">
        <v>2531</v>
      </c>
      <c r="AW164" s="0" t="s">
        <v>2498</v>
      </c>
      <c r="AX164" s="0" t="s">
        <v>2498</v>
      </c>
      <c r="AY164" s="0" t="s">
        <v>2543</v>
      </c>
      <c r="AZ164" s="0" t="s">
        <v>2537</v>
      </c>
      <c r="BA164" s="0" t="s">
        <v>2452</v>
      </c>
      <c r="BB164" s="0" t="s">
        <v>2452</v>
      </c>
    </row>
    <row r="165" customFormat="false" ht="12.75" hidden="false" customHeight="false" outlineLevel="0" collapsed="false">
      <c r="C165" s="657" t="s">
        <v>2550</v>
      </c>
      <c r="D165" s="0" t="s">
        <v>2454</v>
      </c>
      <c r="E165" s="0" t="s">
        <v>2454</v>
      </c>
      <c r="F165" s="0" t="s">
        <v>2454</v>
      </c>
      <c r="G165" s="0" t="s">
        <v>2515</v>
      </c>
      <c r="H165" s="0" t="s">
        <v>2551</v>
      </c>
      <c r="I165" s="0" t="s">
        <v>2504</v>
      </c>
      <c r="J165" s="0" t="s">
        <v>2488</v>
      </c>
      <c r="K165" s="0" t="s">
        <v>2546</v>
      </c>
      <c r="L165" s="0" t="s">
        <v>2551</v>
      </c>
      <c r="M165" s="210" t="s">
        <v>2552</v>
      </c>
      <c r="N165" s="0" t="s">
        <v>2537</v>
      </c>
      <c r="O165" s="0" t="s">
        <v>2482</v>
      </c>
      <c r="P165" s="0" t="s">
        <v>2553</v>
      </c>
      <c r="Q165" s="0" t="s">
        <v>2552</v>
      </c>
      <c r="R165" s="0" t="s">
        <v>2547</v>
      </c>
      <c r="S165" s="0" t="s">
        <v>2514</v>
      </c>
      <c r="T165" s="0" t="s">
        <v>2546</v>
      </c>
      <c r="U165" s="0" t="s">
        <v>2546</v>
      </c>
      <c r="V165" s="0" t="s">
        <v>2546</v>
      </c>
      <c r="W165" s="0" t="s">
        <v>2533</v>
      </c>
      <c r="X165" s="0" t="s">
        <v>2533</v>
      </c>
      <c r="Y165" s="0" t="s">
        <v>2548</v>
      </c>
      <c r="Z165" s="0" t="s">
        <v>2533</v>
      </c>
      <c r="AA165" s="0" t="s">
        <v>2533</v>
      </c>
      <c r="AB165" s="0" t="s">
        <v>2533</v>
      </c>
      <c r="AC165" s="0" t="s">
        <v>2533</v>
      </c>
      <c r="AD165" s="0" t="s">
        <v>2533</v>
      </c>
      <c r="AE165" s="0" t="s">
        <v>2509</v>
      </c>
      <c r="AF165" s="0" t="s">
        <v>2509</v>
      </c>
      <c r="AG165" s="0" t="s">
        <v>2488</v>
      </c>
      <c r="AH165" s="0" t="s">
        <v>2488</v>
      </c>
      <c r="AI165" s="0" t="s">
        <v>2488</v>
      </c>
      <c r="AJ165" s="0" t="s">
        <v>2488</v>
      </c>
      <c r="AK165" s="0" t="s">
        <v>2488</v>
      </c>
      <c r="AL165" s="0" t="s">
        <v>2488</v>
      </c>
      <c r="AM165" s="0" t="s">
        <v>2488</v>
      </c>
      <c r="AN165" s="0" t="s">
        <v>2492</v>
      </c>
      <c r="AO165" s="0" t="s">
        <v>2492</v>
      </c>
      <c r="AP165" s="0" t="s">
        <v>2553</v>
      </c>
      <c r="AQ165" s="0" t="s">
        <v>2553</v>
      </c>
      <c r="AR165" s="0" t="s">
        <v>2553</v>
      </c>
      <c r="AS165" s="0" t="s">
        <v>2553</v>
      </c>
      <c r="AT165" s="0" t="s">
        <v>2518</v>
      </c>
      <c r="AU165" s="0" t="s">
        <v>1012</v>
      </c>
      <c r="AV165" s="0" t="s">
        <v>2523</v>
      </c>
      <c r="AW165" s="0" t="s">
        <v>2547</v>
      </c>
      <c r="AX165" s="0" t="s">
        <v>2547</v>
      </c>
      <c r="AY165" s="0" t="s">
        <v>2498</v>
      </c>
      <c r="AZ165" s="0" t="s">
        <v>2537</v>
      </c>
      <c r="BA165" s="0" t="s">
        <v>2490</v>
      </c>
      <c r="BB165" s="0" t="s">
        <v>2490</v>
      </c>
    </row>
  </sheetData>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Q34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52" activeCellId="0" sqref="C252"/>
    </sheetView>
  </sheetViews>
  <sheetFormatPr defaultRowHeight="12.75" zeroHeight="false" outlineLevelRow="0" outlineLevelCol="0"/>
  <cols>
    <col collapsed="false" customWidth="true" hidden="false" outlineLevel="0" max="1" min="1" style="0" width="3.83"/>
    <col collapsed="false" customWidth="true" hidden="false" outlineLevel="0" max="2" min="2" style="32" width="32.84"/>
    <col collapsed="false" customWidth="true" hidden="false" outlineLevel="0" max="3" min="3" style="32" width="10.16"/>
    <col collapsed="false" customWidth="true" hidden="false" outlineLevel="0" max="4" min="4" style="32" width="7.15"/>
    <col collapsed="false" customWidth="true" hidden="false" outlineLevel="0" max="5" min="5" style="32" width="15.01"/>
    <col collapsed="false" customWidth="true" hidden="false" outlineLevel="0" max="6" min="6" style="32" width="3.83"/>
    <col collapsed="false" customWidth="true" hidden="false" outlineLevel="0" max="7" min="7" style="32" width="32.33"/>
    <col collapsed="false" customWidth="true" hidden="false" outlineLevel="0" max="8" min="8" style="657" width="19.66"/>
    <col collapsed="false" customWidth="true" hidden="false" outlineLevel="0" max="9" min="9" style="343" width="6.35"/>
    <col collapsed="false" customWidth="true" hidden="false" outlineLevel="0" max="10" min="10" style="343" width="7.32"/>
    <col collapsed="false" customWidth="true" hidden="false" outlineLevel="0" max="12" min="11" style="343" width="11.14"/>
    <col collapsed="false" customWidth="true" hidden="false" outlineLevel="0" max="13" min="13" style="32" width="10.16"/>
    <col collapsed="false" customWidth="true" hidden="false" outlineLevel="0" max="14" min="14" style="32" width="32.33"/>
    <col collapsed="false" customWidth="true" hidden="false" outlineLevel="0" max="15" min="15" style="343" width="14"/>
    <col collapsed="false" customWidth="true" hidden="false" outlineLevel="0" max="16" min="16" style="343" width="7.66"/>
    <col collapsed="false" customWidth="true" hidden="false" outlineLevel="0" max="17" min="17" style="343" width="6.52"/>
    <col collapsed="false" customWidth="true" hidden="false" outlineLevel="0" max="1025" min="18" style="32" width="10.16"/>
  </cols>
  <sheetData>
    <row r="1" customFormat="false" ht="12.75" hidden="false" customHeight="true" outlineLevel="0" collapsed="false">
      <c r="K1" s="677" t="s">
        <v>2554</v>
      </c>
      <c r="L1" s="677" t="s">
        <v>2555</v>
      </c>
    </row>
    <row r="2" customFormat="false" ht="12.75" hidden="false" customHeight="false" outlineLevel="0" collapsed="false">
      <c r="B2" s="678" t="s">
        <v>1044</v>
      </c>
      <c r="C2" s="679" t="s">
        <v>2556</v>
      </c>
      <c r="D2" s="594" t="s">
        <v>590</v>
      </c>
      <c r="E2" s="594" t="s">
        <v>2557</v>
      </c>
      <c r="G2" s="680" t="s">
        <v>1067</v>
      </c>
      <c r="H2" s="638" t="s">
        <v>1044</v>
      </c>
      <c r="I2" s="639" t="s">
        <v>196</v>
      </c>
      <c r="J2" s="639" t="s">
        <v>1068</v>
      </c>
      <c r="K2" s="677"/>
      <c r="L2" s="677"/>
      <c r="N2" s="681" t="s">
        <v>2558</v>
      </c>
      <c r="O2" s="653" t="s">
        <v>2559</v>
      </c>
      <c r="P2" s="653" t="s">
        <v>1127</v>
      </c>
      <c r="Q2" s="682" t="s">
        <v>1068</v>
      </c>
    </row>
    <row r="3" customFormat="false" ht="12.75" hidden="false" customHeight="false" outlineLevel="0" collapsed="false">
      <c r="B3" s="673" t="s">
        <v>2400</v>
      </c>
      <c r="C3" s="44" t="s">
        <v>262</v>
      </c>
      <c r="D3" s="44" t="s">
        <v>345</v>
      </c>
      <c r="E3" s="340" t="s">
        <v>2560</v>
      </c>
      <c r="G3" s="683" t="s">
        <v>2203</v>
      </c>
      <c r="H3" s="684" t="s">
        <v>422</v>
      </c>
      <c r="I3" s="292" t="n">
        <v>6</v>
      </c>
      <c r="J3" s="292" t="n">
        <v>2</v>
      </c>
      <c r="K3" s="685" t="n">
        <v>3400</v>
      </c>
      <c r="L3" s="686" t="n">
        <v>1300</v>
      </c>
      <c r="N3" s="683" t="s">
        <v>254</v>
      </c>
      <c r="O3" s="292" t="s">
        <v>255</v>
      </c>
      <c r="P3" s="292" t="s">
        <v>270</v>
      </c>
      <c r="Q3" s="623" t="n">
        <v>1</v>
      </c>
    </row>
    <row r="4" customFormat="false" ht="12.75" hidden="false" customHeight="false" outlineLevel="0" collapsed="false">
      <c r="B4" s="673" t="s">
        <v>254</v>
      </c>
      <c r="C4" s="44" t="s">
        <v>255</v>
      </c>
      <c r="D4" s="44" t="s">
        <v>345</v>
      </c>
      <c r="E4" s="340" t="s">
        <v>2561</v>
      </c>
      <c r="G4" s="673" t="s">
        <v>2201</v>
      </c>
      <c r="H4" s="652" t="s">
        <v>419</v>
      </c>
      <c r="I4" s="343" t="n">
        <v>4</v>
      </c>
      <c r="J4" s="343" t="n">
        <v>3</v>
      </c>
      <c r="K4" s="340" t="n">
        <v>1300</v>
      </c>
      <c r="L4" s="340" t="n">
        <v>500</v>
      </c>
      <c r="N4" s="673" t="s">
        <v>258</v>
      </c>
      <c r="O4" s="42" t="s">
        <v>259</v>
      </c>
      <c r="P4" s="42" t="s">
        <v>703</v>
      </c>
      <c r="Q4" s="340" t="n">
        <v>0</v>
      </c>
    </row>
    <row r="5" customFormat="false" ht="12.75" hidden="false" customHeight="false" outlineLevel="0" collapsed="false">
      <c r="B5" s="673" t="s">
        <v>2384</v>
      </c>
      <c r="C5" s="44" t="s">
        <v>255</v>
      </c>
      <c r="D5" s="44" t="s">
        <v>345</v>
      </c>
      <c r="E5" s="340" t="s">
        <v>2562</v>
      </c>
      <c r="G5" s="673" t="s">
        <v>2211</v>
      </c>
      <c r="H5" s="652" t="s">
        <v>2520</v>
      </c>
      <c r="I5" s="343" t="n">
        <v>4</v>
      </c>
      <c r="J5" s="343" t="n">
        <v>2</v>
      </c>
      <c r="K5" s="340" t="n">
        <v>3400</v>
      </c>
      <c r="L5" s="340" t="n">
        <v>1300</v>
      </c>
      <c r="N5" s="673" t="s">
        <v>261</v>
      </c>
      <c r="O5" s="42" t="s">
        <v>262</v>
      </c>
      <c r="P5" s="42" t="s">
        <v>703</v>
      </c>
      <c r="Q5" s="340" t="n">
        <v>0</v>
      </c>
    </row>
    <row r="6" customFormat="false" ht="12.75" hidden="false" customHeight="false" outlineLevel="0" collapsed="false">
      <c r="B6" s="673" t="s">
        <v>261</v>
      </c>
      <c r="C6" s="44" t="s">
        <v>262</v>
      </c>
      <c r="D6" s="44" t="s">
        <v>345</v>
      </c>
      <c r="E6" s="340" t="s">
        <v>2563</v>
      </c>
      <c r="G6" s="636" t="s">
        <v>2200</v>
      </c>
      <c r="H6" s="657" t="s">
        <v>261</v>
      </c>
      <c r="I6" s="343" t="n">
        <v>2</v>
      </c>
      <c r="J6" s="343" t="n">
        <v>2</v>
      </c>
      <c r="K6" s="340" t="n">
        <v>500</v>
      </c>
      <c r="L6" s="340" t="n">
        <v>200</v>
      </c>
      <c r="N6" s="673" t="s">
        <v>265</v>
      </c>
      <c r="O6" s="42" t="s">
        <v>253</v>
      </c>
      <c r="P6" s="42" t="s">
        <v>703</v>
      </c>
      <c r="Q6" s="340" t="n">
        <v>0</v>
      </c>
    </row>
    <row r="7" customFormat="false" ht="12.75" hidden="false" customHeight="false" outlineLevel="0" collapsed="false">
      <c r="B7" s="673" t="s">
        <v>2381</v>
      </c>
      <c r="C7" s="42" t="s">
        <v>253</v>
      </c>
      <c r="D7" s="42" t="s">
        <v>345</v>
      </c>
      <c r="E7" s="340" t="s">
        <v>2561</v>
      </c>
      <c r="G7" s="673" t="s">
        <v>2210</v>
      </c>
      <c r="H7" s="652" t="s">
        <v>2458</v>
      </c>
      <c r="I7" s="343" t="n">
        <v>11</v>
      </c>
      <c r="J7" s="343" t="n">
        <v>6</v>
      </c>
      <c r="K7" s="340" t="n">
        <v>61000</v>
      </c>
      <c r="L7" s="340" t="n">
        <v>23300</v>
      </c>
      <c r="N7" s="673" t="s">
        <v>268</v>
      </c>
      <c r="O7" s="42" t="s">
        <v>259</v>
      </c>
      <c r="P7" s="42" t="s">
        <v>947</v>
      </c>
      <c r="Q7" s="340" t="n">
        <v>0</v>
      </c>
    </row>
    <row r="8" customFormat="false" ht="12.75" hidden="false" customHeight="false" outlineLevel="0" collapsed="false">
      <c r="B8" s="673" t="s">
        <v>268</v>
      </c>
      <c r="C8" s="44" t="s">
        <v>259</v>
      </c>
      <c r="D8" s="44" t="s">
        <v>345</v>
      </c>
      <c r="E8" s="340" t="s">
        <v>2564</v>
      </c>
      <c r="G8" s="673" t="s">
        <v>2213</v>
      </c>
      <c r="H8" s="652" t="s">
        <v>1009</v>
      </c>
      <c r="I8" s="343" t="n">
        <v>6</v>
      </c>
      <c r="J8" s="343" t="s">
        <v>2565</v>
      </c>
      <c r="K8" s="340" t="n">
        <v>3400</v>
      </c>
      <c r="L8" s="340" t="n">
        <v>1300</v>
      </c>
      <c r="N8" s="673" t="s">
        <v>272</v>
      </c>
      <c r="O8" s="42" t="s">
        <v>262</v>
      </c>
      <c r="P8" s="42" t="s">
        <v>270</v>
      </c>
      <c r="Q8" s="340" t="n">
        <v>0</v>
      </c>
    </row>
    <row r="9" customFormat="false" ht="12.75" hidden="false" customHeight="false" outlineLevel="0" collapsed="false">
      <c r="B9" s="673" t="s">
        <v>2431</v>
      </c>
      <c r="C9" s="44"/>
      <c r="D9" s="44" t="s">
        <v>345</v>
      </c>
      <c r="E9" s="340" t="s">
        <v>2566</v>
      </c>
      <c r="G9" s="673" t="s">
        <v>2204</v>
      </c>
      <c r="H9" s="652" t="s">
        <v>2387</v>
      </c>
      <c r="I9" s="343" t="n">
        <v>5</v>
      </c>
      <c r="J9" s="343" t="n">
        <v>1</v>
      </c>
      <c r="K9" s="340" t="n">
        <v>2100</v>
      </c>
      <c r="L9" s="340" t="n">
        <v>800</v>
      </c>
      <c r="N9" s="673" t="s">
        <v>275</v>
      </c>
      <c r="O9" s="42" t="s">
        <v>259</v>
      </c>
      <c r="P9" s="42" t="s">
        <v>703</v>
      </c>
      <c r="Q9" s="340" t="n">
        <v>0</v>
      </c>
    </row>
    <row r="10" customFormat="false" ht="12.75" hidden="false" customHeight="false" outlineLevel="0" collapsed="false">
      <c r="B10" s="673" t="s">
        <v>2567</v>
      </c>
      <c r="C10" s="44" t="s">
        <v>259</v>
      </c>
      <c r="D10" s="44" t="s">
        <v>972</v>
      </c>
      <c r="E10" s="340" t="s">
        <v>2564</v>
      </c>
      <c r="G10" s="673" t="s">
        <v>2208</v>
      </c>
      <c r="H10" s="652" t="s">
        <v>419</v>
      </c>
      <c r="I10" s="343" t="n">
        <v>4</v>
      </c>
      <c r="J10" s="343" t="n">
        <v>4</v>
      </c>
      <c r="K10" s="340" t="n">
        <v>1300</v>
      </c>
      <c r="L10" s="340" t="n">
        <v>500</v>
      </c>
      <c r="N10" s="673" t="s">
        <v>278</v>
      </c>
      <c r="O10" s="42" t="s">
        <v>259</v>
      </c>
      <c r="P10" s="42" t="s">
        <v>947</v>
      </c>
      <c r="Q10" s="340" t="n">
        <v>1</v>
      </c>
    </row>
    <row r="11" customFormat="false" ht="12.75" hidden="false" customHeight="false" outlineLevel="0" collapsed="false">
      <c r="B11" s="673" t="s">
        <v>2399</v>
      </c>
      <c r="C11" s="44" t="s">
        <v>262</v>
      </c>
      <c r="D11" s="44" t="s">
        <v>345</v>
      </c>
      <c r="E11" s="340" t="s">
        <v>2568</v>
      </c>
      <c r="G11" s="673" t="s">
        <v>2205</v>
      </c>
      <c r="H11" s="652" t="s">
        <v>278</v>
      </c>
      <c r="I11" s="343" t="n">
        <v>5</v>
      </c>
      <c r="J11" s="343" t="n">
        <v>1</v>
      </c>
      <c r="K11" s="340" t="n">
        <v>2100</v>
      </c>
      <c r="L11" s="340" t="n">
        <v>800</v>
      </c>
      <c r="N11" s="673" t="s">
        <v>281</v>
      </c>
      <c r="O11" s="42" t="s">
        <v>259</v>
      </c>
      <c r="P11" s="42" t="s">
        <v>703</v>
      </c>
      <c r="Q11" s="340" t="n">
        <v>0</v>
      </c>
    </row>
    <row r="12" customFormat="false" ht="12.75" hidden="false" customHeight="false" outlineLevel="0" collapsed="false">
      <c r="B12" s="673" t="s">
        <v>2569</v>
      </c>
      <c r="C12" s="44" t="s">
        <v>253</v>
      </c>
      <c r="D12" s="44" t="s">
        <v>972</v>
      </c>
      <c r="E12" s="340" t="s">
        <v>2564</v>
      </c>
      <c r="G12" s="673" t="s">
        <v>2202</v>
      </c>
      <c r="H12" s="652" t="s">
        <v>205</v>
      </c>
      <c r="I12" s="343" t="n">
        <v>8</v>
      </c>
      <c r="J12" s="343" t="n">
        <v>3</v>
      </c>
      <c r="K12" s="340" t="n">
        <v>8900</v>
      </c>
      <c r="L12" s="340" t="n">
        <v>3400</v>
      </c>
      <c r="N12" s="673" t="s">
        <v>284</v>
      </c>
      <c r="O12" s="42" t="s">
        <v>259</v>
      </c>
      <c r="P12" s="42" t="s">
        <v>703</v>
      </c>
      <c r="Q12" s="340" t="n">
        <v>0</v>
      </c>
    </row>
    <row r="13" customFormat="false" ht="12.75" hidden="false" customHeight="false" outlineLevel="0" collapsed="false">
      <c r="B13" s="673" t="s">
        <v>275</v>
      </c>
      <c r="C13" s="44" t="s">
        <v>259</v>
      </c>
      <c r="D13" s="44" t="s">
        <v>345</v>
      </c>
      <c r="E13" s="340" t="s">
        <v>2563</v>
      </c>
      <c r="G13" s="673" t="s">
        <v>2209</v>
      </c>
      <c r="H13" s="652" t="s">
        <v>287</v>
      </c>
      <c r="I13" s="343" t="n">
        <v>7</v>
      </c>
      <c r="J13" s="343" t="n">
        <v>2</v>
      </c>
      <c r="K13" s="340" t="n">
        <v>5500</v>
      </c>
      <c r="L13" s="340" t="n">
        <v>2100</v>
      </c>
      <c r="N13" s="673" t="s">
        <v>287</v>
      </c>
      <c r="O13" s="42" t="s">
        <v>255</v>
      </c>
      <c r="P13" s="42" t="s">
        <v>997</v>
      </c>
      <c r="Q13" s="340" t="n">
        <v>1</v>
      </c>
    </row>
    <row r="14" customFormat="false" ht="12.75" hidden="false" customHeight="false" outlineLevel="0" collapsed="false">
      <c r="B14" s="673" t="s">
        <v>2467</v>
      </c>
      <c r="C14" s="44" t="s">
        <v>262</v>
      </c>
      <c r="D14" s="44" t="s">
        <v>972</v>
      </c>
      <c r="E14" s="340" t="s">
        <v>2564</v>
      </c>
      <c r="G14" s="673" t="s">
        <v>2216</v>
      </c>
      <c r="H14" s="652" t="s">
        <v>201</v>
      </c>
      <c r="I14" s="343" t="n">
        <v>7</v>
      </c>
      <c r="J14" s="343" t="n">
        <v>2</v>
      </c>
      <c r="K14" s="340" t="n">
        <v>5500</v>
      </c>
      <c r="L14" s="340" t="n">
        <v>2100</v>
      </c>
      <c r="N14" s="673" t="s">
        <v>290</v>
      </c>
      <c r="O14" s="42" t="s">
        <v>259</v>
      </c>
      <c r="P14" s="42" t="s">
        <v>270</v>
      </c>
      <c r="Q14" s="340" t="n">
        <v>2</v>
      </c>
    </row>
    <row r="15" customFormat="false" ht="12.75" hidden="false" customHeight="false" outlineLevel="0" collapsed="false">
      <c r="B15" s="673" t="s">
        <v>2396</v>
      </c>
      <c r="C15" s="44" t="s">
        <v>253</v>
      </c>
      <c r="D15" s="44" t="s">
        <v>345</v>
      </c>
      <c r="E15" s="340" t="s">
        <v>2561</v>
      </c>
      <c r="G15" s="687" t="s">
        <v>2222</v>
      </c>
      <c r="H15" s="121" t="s">
        <v>2570</v>
      </c>
      <c r="I15" s="343" t="n">
        <v>5</v>
      </c>
      <c r="J15" s="247" t="n">
        <v>2</v>
      </c>
      <c r="K15" s="340" t="n">
        <v>3400</v>
      </c>
      <c r="L15" s="340" t="n">
        <v>1300</v>
      </c>
      <c r="N15" s="673" t="s">
        <v>293</v>
      </c>
      <c r="O15" s="42" t="s">
        <v>259</v>
      </c>
      <c r="P15" s="42" t="s">
        <v>270</v>
      </c>
      <c r="Q15" s="340" t="n">
        <v>1</v>
      </c>
    </row>
    <row r="16" customFormat="false" ht="12.75" hidden="false" customHeight="false" outlineLevel="0" collapsed="false">
      <c r="B16" s="673" t="s">
        <v>2571</v>
      </c>
      <c r="C16" s="44" t="s">
        <v>259</v>
      </c>
      <c r="D16" s="44" t="s">
        <v>345</v>
      </c>
      <c r="E16" s="340" t="s">
        <v>2560</v>
      </c>
      <c r="G16" s="687" t="s">
        <v>2221</v>
      </c>
      <c r="H16" s="247" t="s">
        <v>261</v>
      </c>
      <c r="I16" s="343" t="n">
        <v>6</v>
      </c>
      <c r="J16" s="247" t="n">
        <v>4</v>
      </c>
      <c r="K16" s="340" t="n">
        <v>3400</v>
      </c>
      <c r="L16" s="340" t="n">
        <v>1300</v>
      </c>
      <c r="N16" s="673" t="s">
        <v>296</v>
      </c>
      <c r="O16" s="42" t="s">
        <v>255</v>
      </c>
      <c r="P16" s="42" t="s">
        <v>947</v>
      </c>
      <c r="Q16" s="340" t="s">
        <v>703</v>
      </c>
    </row>
    <row r="17" customFormat="false" ht="12.75" hidden="false" customHeight="false" outlineLevel="0" collapsed="false">
      <c r="B17" s="673" t="s">
        <v>2571</v>
      </c>
      <c r="C17" s="44" t="s">
        <v>259</v>
      </c>
      <c r="D17" s="44" t="s">
        <v>345</v>
      </c>
      <c r="E17" s="340" t="s">
        <v>2560</v>
      </c>
      <c r="G17" s="687" t="s">
        <v>2215</v>
      </c>
      <c r="H17" s="652" t="s">
        <v>2485</v>
      </c>
      <c r="I17" s="343" t="n">
        <v>8</v>
      </c>
      <c r="J17" s="247" t="s">
        <v>2565</v>
      </c>
      <c r="K17" s="340" t="n">
        <v>23300</v>
      </c>
      <c r="L17" s="340" t="n">
        <v>8900</v>
      </c>
      <c r="N17" s="673" t="s">
        <v>299</v>
      </c>
      <c r="O17" s="42" t="s">
        <v>259</v>
      </c>
      <c r="P17" s="42" t="s">
        <v>947</v>
      </c>
      <c r="Q17" s="340" t="n">
        <v>0</v>
      </c>
    </row>
    <row r="18" customFormat="false" ht="12.75" hidden="false" customHeight="false" outlineLevel="0" collapsed="false">
      <c r="B18" s="673" t="s">
        <v>278</v>
      </c>
      <c r="C18" s="44" t="s">
        <v>259</v>
      </c>
      <c r="D18" s="44" t="s">
        <v>972</v>
      </c>
      <c r="E18" s="340" t="s">
        <v>2564</v>
      </c>
      <c r="G18" s="687" t="s">
        <v>2212</v>
      </c>
      <c r="H18" s="121" t="s">
        <v>2456</v>
      </c>
      <c r="I18" s="343" t="n">
        <v>7</v>
      </c>
      <c r="J18" s="247" t="s">
        <v>2572</v>
      </c>
      <c r="K18" s="340" t="n">
        <v>8900</v>
      </c>
      <c r="L18" s="340" t="n">
        <v>3400</v>
      </c>
      <c r="N18" s="673" t="s">
        <v>302</v>
      </c>
      <c r="O18" s="42" t="s">
        <v>270</v>
      </c>
      <c r="P18" s="42" t="s">
        <v>997</v>
      </c>
      <c r="Q18" s="340" t="n">
        <v>0</v>
      </c>
    </row>
    <row r="19" customFormat="false" ht="12.75" hidden="false" customHeight="false" outlineLevel="0" collapsed="false">
      <c r="B19" s="673" t="s">
        <v>2573</v>
      </c>
      <c r="C19" s="44" t="s">
        <v>262</v>
      </c>
      <c r="D19" s="44" t="s">
        <v>345</v>
      </c>
      <c r="E19" s="340" t="s">
        <v>2561</v>
      </c>
      <c r="G19" s="687" t="s">
        <v>2217</v>
      </c>
      <c r="H19" s="247" t="s">
        <v>419</v>
      </c>
      <c r="I19" s="343" t="n">
        <v>7</v>
      </c>
      <c r="J19" s="247" t="n">
        <v>2</v>
      </c>
      <c r="K19" s="340" t="n">
        <v>5500</v>
      </c>
      <c r="L19" s="340" t="n">
        <v>2100</v>
      </c>
      <c r="N19" s="673" t="s">
        <v>303</v>
      </c>
      <c r="O19" s="42" t="s">
        <v>255</v>
      </c>
      <c r="P19" s="42" t="s">
        <v>947</v>
      </c>
      <c r="Q19" s="340" t="n">
        <v>0</v>
      </c>
    </row>
    <row r="20" customFormat="false" ht="12.75" hidden="false" customHeight="false" outlineLevel="0" collapsed="false">
      <c r="B20" s="673" t="s">
        <v>2468</v>
      </c>
      <c r="C20" s="44"/>
      <c r="D20" s="44" t="s">
        <v>345</v>
      </c>
      <c r="E20" s="340" t="s">
        <v>2574</v>
      </c>
      <c r="G20" s="687" t="s">
        <v>2214</v>
      </c>
      <c r="H20" s="652" t="s">
        <v>2575</v>
      </c>
      <c r="I20" s="343" t="n">
        <v>13</v>
      </c>
      <c r="J20" s="247" t="n">
        <v>2</v>
      </c>
      <c r="K20" s="340" t="n">
        <v>98700</v>
      </c>
      <c r="L20" s="340" t="n">
        <v>37700</v>
      </c>
      <c r="N20" s="673" t="s">
        <v>218</v>
      </c>
      <c r="O20" s="42" t="s">
        <v>255</v>
      </c>
      <c r="P20" s="42" t="s">
        <v>947</v>
      </c>
      <c r="Q20" s="340" t="n">
        <v>1</v>
      </c>
    </row>
    <row r="21" customFormat="false" ht="12.75" hidden="false" customHeight="false" outlineLevel="0" collapsed="false">
      <c r="B21" s="673" t="s">
        <v>2465</v>
      </c>
      <c r="C21" s="44" t="s">
        <v>301</v>
      </c>
      <c r="D21" s="44" t="s">
        <v>345</v>
      </c>
      <c r="E21" s="340" t="s">
        <v>2574</v>
      </c>
      <c r="G21" s="673" t="s">
        <v>2576</v>
      </c>
      <c r="H21" s="652" t="s">
        <v>2577</v>
      </c>
      <c r="I21" s="44" t="n">
        <v>5</v>
      </c>
      <c r="J21" s="44" t="n">
        <v>2</v>
      </c>
      <c r="K21" s="340" t="n">
        <v>2100</v>
      </c>
      <c r="L21" s="340" t="n">
        <v>2100</v>
      </c>
      <c r="N21" s="673" t="s">
        <v>309</v>
      </c>
      <c r="O21" s="42" t="s">
        <v>259</v>
      </c>
      <c r="P21" s="42" t="s">
        <v>703</v>
      </c>
      <c r="Q21" s="340" t="n">
        <v>0</v>
      </c>
    </row>
    <row r="22" customFormat="false" ht="12.75" hidden="false" customHeight="false" outlineLevel="0" collapsed="false">
      <c r="B22" s="673" t="s">
        <v>2485</v>
      </c>
      <c r="C22" s="44" t="s">
        <v>253</v>
      </c>
      <c r="D22" s="44" t="s">
        <v>345</v>
      </c>
      <c r="E22" s="340" t="s">
        <v>2578</v>
      </c>
      <c r="G22" s="673" t="s">
        <v>2235</v>
      </c>
      <c r="H22" s="652" t="s">
        <v>2463</v>
      </c>
      <c r="I22" s="343" t="n">
        <v>5</v>
      </c>
      <c r="J22" s="343" t="n">
        <v>3</v>
      </c>
      <c r="K22" s="340" t="n">
        <v>2100</v>
      </c>
      <c r="L22" s="340" t="n">
        <v>800</v>
      </c>
      <c r="N22" s="673" t="s">
        <v>311</v>
      </c>
      <c r="O22" s="42" t="s">
        <v>253</v>
      </c>
      <c r="P22" s="42" t="s">
        <v>703</v>
      </c>
      <c r="Q22" s="340" t="n">
        <v>0</v>
      </c>
    </row>
    <row r="23" customFormat="false" ht="12.75" hidden="false" customHeight="false" outlineLevel="0" collapsed="false">
      <c r="B23" s="673" t="s">
        <v>2379</v>
      </c>
      <c r="C23" s="44" t="s">
        <v>253</v>
      </c>
      <c r="D23" s="44" t="s">
        <v>345</v>
      </c>
      <c r="E23" s="340" t="s">
        <v>2561</v>
      </c>
      <c r="G23" s="673" t="s">
        <v>2226</v>
      </c>
      <c r="H23" s="652" t="s">
        <v>2579</v>
      </c>
      <c r="I23" s="343" t="n">
        <v>4</v>
      </c>
      <c r="J23" s="343" t="n">
        <v>2</v>
      </c>
      <c r="K23" s="340" t="n">
        <v>1300</v>
      </c>
      <c r="L23" s="340" t="n">
        <v>500</v>
      </c>
      <c r="N23" s="673" t="s">
        <v>314</v>
      </c>
      <c r="O23" s="42" t="s">
        <v>253</v>
      </c>
      <c r="P23" s="42" t="s">
        <v>703</v>
      </c>
      <c r="Q23" s="340" t="n">
        <v>0</v>
      </c>
    </row>
    <row r="24" customFormat="false" ht="12.75" hidden="false" customHeight="false" outlineLevel="0" collapsed="false">
      <c r="B24" s="673" t="s">
        <v>2580</v>
      </c>
      <c r="C24" s="42" t="s">
        <v>270</v>
      </c>
      <c r="D24" s="42" t="s">
        <v>345</v>
      </c>
      <c r="E24" s="340" t="s">
        <v>2581</v>
      </c>
      <c r="G24" s="673" t="s">
        <v>2582</v>
      </c>
      <c r="H24" s="636" t="s">
        <v>2583</v>
      </c>
      <c r="I24" s="343" t="n">
        <v>5</v>
      </c>
      <c r="J24" s="343" t="n">
        <v>4</v>
      </c>
      <c r="K24" s="340" t="n">
        <v>2100</v>
      </c>
      <c r="L24" s="340" t="n">
        <v>800</v>
      </c>
      <c r="N24" s="673" t="s">
        <v>317</v>
      </c>
      <c r="O24" s="42" t="s">
        <v>262</v>
      </c>
      <c r="P24" s="42" t="s">
        <v>270</v>
      </c>
      <c r="Q24" s="340" t="n">
        <v>1</v>
      </c>
    </row>
    <row r="25" customFormat="false" ht="12.75" hidden="false" customHeight="false" outlineLevel="0" collapsed="false">
      <c r="B25" s="673" t="s">
        <v>2521</v>
      </c>
      <c r="C25" s="44" t="s">
        <v>270</v>
      </c>
      <c r="D25" s="44" t="s">
        <v>345</v>
      </c>
      <c r="E25" s="340" t="s">
        <v>2568</v>
      </c>
      <c r="G25" s="673" t="s">
        <v>2225</v>
      </c>
      <c r="H25" s="652" t="s">
        <v>2584</v>
      </c>
      <c r="I25" s="343" t="n">
        <v>4</v>
      </c>
      <c r="J25" s="343" t="n">
        <v>2</v>
      </c>
      <c r="K25" s="340" t="n">
        <v>1300</v>
      </c>
      <c r="L25" s="340" t="n">
        <v>500</v>
      </c>
      <c r="N25" s="673" t="s">
        <v>208</v>
      </c>
      <c r="O25" s="42" t="s">
        <v>253</v>
      </c>
      <c r="P25" s="42" t="s">
        <v>947</v>
      </c>
      <c r="Q25" s="340" t="n">
        <v>1</v>
      </c>
    </row>
    <row r="26" customFormat="false" ht="12.75" hidden="false" customHeight="false" outlineLevel="0" collapsed="false">
      <c r="B26" s="673" t="s">
        <v>287</v>
      </c>
      <c r="C26" s="44" t="s">
        <v>255</v>
      </c>
      <c r="D26" s="44" t="s">
        <v>345</v>
      </c>
      <c r="E26" s="340" t="s">
        <v>2562</v>
      </c>
      <c r="G26" s="673" t="s">
        <v>2218</v>
      </c>
      <c r="H26" s="652" t="s">
        <v>2533</v>
      </c>
      <c r="I26" s="343" t="n">
        <v>10</v>
      </c>
      <c r="J26" s="343" t="n">
        <v>4</v>
      </c>
      <c r="K26" s="340" t="n">
        <v>23300</v>
      </c>
      <c r="L26" s="340" t="n">
        <v>8900</v>
      </c>
      <c r="N26" s="673" t="s">
        <v>320</v>
      </c>
      <c r="O26" s="42" t="s">
        <v>253</v>
      </c>
      <c r="P26" s="42" t="s">
        <v>947</v>
      </c>
      <c r="Q26" s="340" t="n">
        <v>1</v>
      </c>
    </row>
    <row r="27" customFormat="false" ht="12.75" hidden="false" customHeight="false" outlineLevel="0" collapsed="false">
      <c r="B27" s="673" t="s">
        <v>2585</v>
      </c>
      <c r="C27" s="44"/>
      <c r="D27" s="44" t="s">
        <v>345</v>
      </c>
      <c r="E27" s="340" t="s">
        <v>2586</v>
      </c>
      <c r="G27" s="673" t="s">
        <v>2231</v>
      </c>
      <c r="H27" s="652" t="s">
        <v>2587</v>
      </c>
      <c r="I27" s="343" t="n">
        <v>7</v>
      </c>
      <c r="J27" s="343" t="n">
        <v>3</v>
      </c>
      <c r="K27" s="340" t="n">
        <v>14400</v>
      </c>
      <c r="L27" s="340" t="n">
        <v>5500</v>
      </c>
      <c r="N27" s="673" t="s">
        <v>322</v>
      </c>
      <c r="O27" s="42" t="s">
        <v>259</v>
      </c>
      <c r="P27" s="42" t="s">
        <v>703</v>
      </c>
      <c r="Q27" s="340" t="n">
        <v>0</v>
      </c>
    </row>
    <row r="28" customFormat="false" ht="12.75" hidden="false" customHeight="false" outlineLevel="0" collapsed="false">
      <c r="B28" s="673" t="s">
        <v>2463</v>
      </c>
      <c r="C28" s="44" t="s">
        <v>255</v>
      </c>
      <c r="D28" s="44" t="s">
        <v>345</v>
      </c>
      <c r="E28" s="340" t="s">
        <v>2560</v>
      </c>
      <c r="G28" s="673" t="s">
        <v>2588</v>
      </c>
      <c r="H28" s="652" t="s">
        <v>205</v>
      </c>
      <c r="I28" s="480" t="n">
        <v>4</v>
      </c>
      <c r="J28" s="480" t="n">
        <v>2</v>
      </c>
      <c r="K28" s="340" t="n">
        <v>1300</v>
      </c>
      <c r="L28" s="340" t="n">
        <v>1300</v>
      </c>
      <c r="N28" s="673" t="s">
        <v>256</v>
      </c>
      <c r="O28" s="42" t="s">
        <v>255</v>
      </c>
      <c r="P28" s="42" t="s">
        <v>947</v>
      </c>
      <c r="Q28" s="340" t="n">
        <v>1</v>
      </c>
    </row>
    <row r="29" customFormat="false" ht="12.75" hidden="false" customHeight="false" outlineLevel="0" collapsed="false">
      <c r="B29" s="673" t="s">
        <v>2589</v>
      </c>
      <c r="C29" s="44" t="s">
        <v>259</v>
      </c>
      <c r="D29" s="44" t="s">
        <v>345</v>
      </c>
      <c r="E29" s="340" t="s">
        <v>2560</v>
      </c>
      <c r="G29" s="673" t="s">
        <v>2227</v>
      </c>
      <c r="H29" s="652" t="s">
        <v>2500</v>
      </c>
      <c r="I29" s="480" t="n">
        <v>7</v>
      </c>
      <c r="J29" s="480" t="n">
        <v>2</v>
      </c>
      <c r="K29" s="340" t="n">
        <v>5500</v>
      </c>
      <c r="L29" s="340" t="n">
        <v>2100</v>
      </c>
      <c r="N29" s="673" t="s">
        <v>210</v>
      </c>
      <c r="O29" s="42" t="s">
        <v>255</v>
      </c>
      <c r="P29" s="42" t="s">
        <v>703</v>
      </c>
      <c r="Q29" s="340" t="n">
        <v>1</v>
      </c>
    </row>
    <row r="30" customFormat="false" ht="12.75" hidden="false" customHeight="false" outlineLevel="0" collapsed="false">
      <c r="B30" s="673" t="s">
        <v>2476</v>
      </c>
      <c r="C30" s="44" t="s">
        <v>259</v>
      </c>
      <c r="D30" s="44" t="s">
        <v>345</v>
      </c>
      <c r="E30" s="340" t="s">
        <v>2560</v>
      </c>
      <c r="G30" s="673" t="s">
        <v>2240</v>
      </c>
      <c r="H30" s="652" t="s">
        <v>261</v>
      </c>
      <c r="I30" s="343" t="n">
        <v>6</v>
      </c>
      <c r="J30" s="343" t="n">
        <v>4</v>
      </c>
      <c r="K30" s="340" t="n">
        <v>3400</v>
      </c>
      <c r="L30" s="340" t="n">
        <v>1300</v>
      </c>
      <c r="N30" s="673" t="s">
        <v>263</v>
      </c>
      <c r="O30" s="42" t="s">
        <v>253</v>
      </c>
      <c r="P30" s="42" t="s">
        <v>703</v>
      </c>
      <c r="Q30" s="340" t="n">
        <v>0</v>
      </c>
    </row>
    <row r="31" customFormat="false" ht="12.75" hidden="false" customHeight="false" outlineLevel="0" collapsed="false">
      <c r="B31" s="673" t="s">
        <v>290</v>
      </c>
      <c r="C31" s="44" t="s">
        <v>259</v>
      </c>
      <c r="D31" s="44" t="s">
        <v>345</v>
      </c>
      <c r="E31" s="340" t="s">
        <v>2561</v>
      </c>
      <c r="G31" s="673" t="s">
        <v>2239</v>
      </c>
      <c r="H31" s="657" t="s">
        <v>2590</v>
      </c>
      <c r="I31" s="343" t="n">
        <v>7</v>
      </c>
      <c r="J31" s="343" t="s">
        <v>2591</v>
      </c>
      <c r="K31" s="340" t="n">
        <v>5500</v>
      </c>
      <c r="L31" s="340" t="n">
        <v>2100</v>
      </c>
      <c r="N31" s="673" t="s">
        <v>266</v>
      </c>
      <c r="O31" s="42" t="s">
        <v>259</v>
      </c>
      <c r="P31" s="42" t="s">
        <v>947</v>
      </c>
      <c r="Q31" s="340" t="n">
        <v>1</v>
      </c>
    </row>
    <row r="32" customFormat="false" ht="12.75" hidden="false" customHeight="false" outlineLevel="0" collapsed="false">
      <c r="B32" s="673" t="s">
        <v>293</v>
      </c>
      <c r="C32" s="44" t="s">
        <v>259</v>
      </c>
      <c r="D32" s="44" t="s">
        <v>345</v>
      </c>
      <c r="E32" s="340" t="s">
        <v>2561</v>
      </c>
      <c r="G32" s="673" t="s">
        <v>2223</v>
      </c>
      <c r="H32" s="657" t="s">
        <v>287</v>
      </c>
      <c r="I32" s="343" t="n">
        <v>7</v>
      </c>
      <c r="J32" s="343" t="n">
        <v>2</v>
      </c>
      <c r="K32" s="340" t="n">
        <v>5500</v>
      </c>
      <c r="L32" s="340" t="n">
        <v>2100</v>
      </c>
      <c r="N32" s="673" t="s">
        <v>269</v>
      </c>
      <c r="O32" s="42" t="s">
        <v>270</v>
      </c>
      <c r="P32" s="42" t="s">
        <v>997</v>
      </c>
      <c r="Q32" s="340" t="n">
        <v>1</v>
      </c>
    </row>
    <row r="33" customFormat="false" ht="12.75" hidden="false" customHeight="false" outlineLevel="0" collapsed="false">
      <c r="B33" s="673" t="s">
        <v>2592</v>
      </c>
      <c r="C33" s="44" t="s">
        <v>262</v>
      </c>
      <c r="D33" s="44" t="s">
        <v>345</v>
      </c>
      <c r="E33" s="340" t="s">
        <v>2562</v>
      </c>
      <c r="G33" s="673" t="s">
        <v>1088</v>
      </c>
      <c r="H33" s="652" t="s">
        <v>2575</v>
      </c>
      <c r="I33" s="44" t="n">
        <v>5</v>
      </c>
      <c r="J33" s="44" t="n">
        <v>2</v>
      </c>
      <c r="K33" s="340" t="n">
        <v>2100</v>
      </c>
      <c r="L33" s="340" t="n">
        <v>800</v>
      </c>
      <c r="N33" s="673" t="s">
        <v>273</v>
      </c>
      <c r="O33" s="42" t="s">
        <v>259</v>
      </c>
      <c r="P33" s="42" t="s">
        <v>703</v>
      </c>
      <c r="Q33" s="340" t="n">
        <v>1</v>
      </c>
    </row>
    <row r="34" customFormat="false" ht="12.75" hidden="false" customHeight="false" outlineLevel="0" collapsed="false">
      <c r="B34" s="673" t="s">
        <v>2593</v>
      </c>
      <c r="C34" s="44" t="s">
        <v>259</v>
      </c>
      <c r="D34" s="44" t="s">
        <v>345</v>
      </c>
      <c r="E34" s="340" t="s">
        <v>2562</v>
      </c>
      <c r="G34" s="673" t="s">
        <v>2228</v>
      </c>
      <c r="H34" s="657" t="s">
        <v>2534</v>
      </c>
      <c r="I34" s="343" t="n">
        <v>5</v>
      </c>
      <c r="J34" s="343" t="n">
        <v>2</v>
      </c>
      <c r="K34" s="340" t="n">
        <v>5500</v>
      </c>
      <c r="L34" s="340" t="n">
        <v>2100</v>
      </c>
      <c r="N34" s="673" t="s">
        <v>276</v>
      </c>
      <c r="O34" s="42" t="s">
        <v>259</v>
      </c>
      <c r="P34" s="42" t="s">
        <v>947</v>
      </c>
      <c r="Q34" s="340" t="n">
        <v>1</v>
      </c>
    </row>
    <row r="35" customFormat="false" ht="12.75" hidden="false" customHeight="false" outlineLevel="0" collapsed="false">
      <c r="B35" s="673" t="s">
        <v>2481</v>
      </c>
      <c r="C35" s="44" t="s">
        <v>969</v>
      </c>
      <c r="D35" s="44" t="s">
        <v>345</v>
      </c>
      <c r="E35" s="340" t="s">
        <v>2574</v>
      </c>
      <c r="G35" s="673" t="s">
        <v>2594</v>
      </c>
      <c r="H35" s="657" t="s">
        <v>216</v>
      </c>
      <c r="I35" s="343" t="n">
        <v>4</v>
      </c>
      <c r="J35" s="343" t="n">
        <v>2</v>
      </c>
      <c r="K35" s="340" t="n">
        <v>1300</v>
      </c>
      <c r="L35" s="340" t="n">
        <v>500</v>
      </c>
      <c r="N35" s="673" t="s">
        <v>279</v>
      </c>
      <c r="O35" s="42" t="s">
        <v>259</v>
      </c>
      <c r="P35" s="42" t="s">
        <v>703</v>
      </c>
      <c r="Q35" s="340" t="n">
        <v>0</v>
      </c>
    </row>
    <row r="36" customFormat="false" ht="12.75" hidden="false" customHeight="false" outlineLevel="0" collapsed="false">
      <c r="B36" s="673" t="s">
        <v>2460</v>
      </c>
      <c r="C36" s="44" t="s">
        <v>969</v>
      </c>
      <c r="D36" s="44" t="s">
        <v>972</v>
      </c>
      <c r="E36" s="340" t="s">
        <v>2595</v>
      </c>
      <c r="G36" s="673" t="s">
        <v>2229</v>
      </c>
      <c r="H36" s="657" t="s">
        <v>356</v>
      </c>
      <c r="I36" s="343" t="n">
        <v>6</v>
      </c>
      <c r="J36" s="343" t="n">
        <v>4</v>
      </c>
      <c r="K36" s="340" t="n">
        <v>3400</v>
      </c>
      <c r="L36" s="340" t="n">
        <v>1300</v>
      </c>
      <c r="N36" s="673" t="s">
        <v>282</v>
      </c>
      <c r="O36" s="42" t="s">
        <v>259</v>
      </c>
      <c r="P36" s="42" t="s">
        <v>703</v>
      </c>
      <c r="Q36" s="340" t="n">
        <v>0</v>
      </c>
    </row>
    <row r="37" customFormat="false" ht="12.75" hidden="false" customHeight="false" outlineLevel="0" collapsed="false">
      <c r="B37" s="673" t="s">
        <v>2596</v>
      </c>
      <c r="C37" s="44" t="s">
        <v>253</v>
      </c>
      <c r="D37" s="44" t="s">
        <v>345</v>
      </c>
      <c r="E37" s="340" t="s">
        <v>2560</v>
      </c>
      <c r="G37" s="673" t="s">
        <v>2234</v>
      </c>
      <c r="H37" s="652" t="s">
        <v>303</v>
      </c>
      <c r="I37" s="343" t="n">
        <v>5</v>
      </c>
      <c r="J37" s="343" t="n">
        <v>4</v>
      </c>
      <c r="K37" s="340" t="n">
        <v>2100</v>
      </c>
      <c r="L37" s="340" t="n">
        <v>800</v>
      </c>
      <c r="N37" s="673" t="s">
        <v>285</v>
      </c>
      <c r="O37" s="42" t="s">
        <v>255</v>
      </c>
      <c r="P37" s="42" t="s">
        <v>947</v>
      </c>
      <c r="Q37" s="340" t="n">
        <v>1</v>
      </c>
    </row>
    <row r="38" customFormat="false" ht="12.75" hidden="false" customHeight="false" outlineLevel="0" collapsed="false">
      <c r="B38" s="673" t="s">
        <v>296</v>
      </c>
      <c r="C38" s="44" t="s">
        <v>255</v>
      </c>
      <c r="D38" s="44" t="s">
        <v>345</v>
      </c>
      <c r="E38" s="340" t="s">
        <v>2578</v>
      </c>
      <c r="G38" s="673" t="s">
        <v>2233</v>
      </c>
      <c r="H38" s="652" t="s">
        <v>2475</v>
      </c>
      <c r="I38" s="343" t="n">
        <v>6</v>
      </c>
      <c r="J38" s="343" t="n">
        <v>2</v>
      </c>
      <c r="K38" s="340" t="n">
        <v>8900</v>
      </c>
      <c r="L38" s="340" t="n">
        <v>3400</v>
      </c>
      <c r="N38" s="673" t="s">
        <v>288</v>
      </c>
      <c r="O38" s="42" t="s">
        <v>259</v>
      </c>
      <c r="P38" s="42" t="s">
        <v>947</v>
      </c>
      <c r="Q38" s="340" t="n">
        <v>0</v>
      </c>
    </row>
    <row r="39" customFormat="false" ht="12.75" hidden="false" customHeight="false" outlineLevel="0" collapsed="false">
      <c r="B39" s="673" t="s">
        <v>2597</v>
      </c>
      <c r="C39" s="44" t="s">
        <v>253</v>
      </c>
      <c r="D39" s="44" t="s">
        <v>972</v>
      </c>
      <c r="E39" s="340" t="s">
        <v>2595</v>
      </c>
      <c r="G39" s="673" t="s">
        <v>2242</v>
      </c>
      <c r="H39" s="652" t="s">
        <v>373</v>
      </c>
      <c r="I39" s="343" t="n">
        <v>7</v>
      </c>
      <c r="J39" s="343" t="n">
        <v>3</v>
      </c>
      <c r="K39" s="340" t="n">
        <v>5500</v>
      </c>
      <c r="L39" s="340" t="n">
        <v>2100</v>
      </c>
      <c r="N39" s="673" t="s">
        <v>291</v>
      </c>
      <c r="O39" s="42" t="s">
        <v>253</v>
      </c>
      <c r="P39" s="42" t="s">
        <v>703</v>
      </c>
      <c r="Q39" s="340" t="n">
        <v>0</v>
      </c>
    </row>
    <row r="40" customFormat="false" ht="12.75" hidden="false" customHeight="false" outlineLevel="0" collapsed="false">
      <c r="B40" s="673" t="s">
        <v>2526</v>
      </c>
      <c r="C40" s="44" t="s">
        <v>253</v>
      </c>
      <c r="D40" s="44" t="s">
        <v>972</v>
      </c>
      <c r="E40" s="340" t="s">
        <v>2564</v>
      </c>
      <c r="G40" s="673" t="s">
        <v>2252</v>
      </c>
      <c r="H40" s="652" t="s">
        <v>2598</v>
      </c>
      <c r="I40" s="343" t="n">
        <v>2</v>
      </c>
      <c r="J40" s="343" t="s">
        <v>2599</v>
      </c>
      <c r="K40" s="340" t="n">
        <v>500</v>
      </c>
      <c r="L40" s="340" t="n">
        <v>200</v>
      </c>
      <c r="N40" s="673" t="s">
        <v>294</v>
      </c>
      <c r="O40" s="42" t="s">
        <v>259</v>
      </c>
      <c r="P40" s="42" t="s">
        <v>703</v>
      </c>
      <c r="Q40" s="340" t="n">
        <v>0</v>
      </c>
    </row>
    <row r="41" customFormat="false" ht="12.75" hidden="false" customHeight="false" outlineLevel="0" collapsed="false">
      <c r="B41" s="673" t="s">
        <v>2397</v>
      </c>
      <c r="C41" s="44" t="s">
        <v>969</v>
      </c>
      <c r="D41" s="44" t="s">
        <v>972</v>
      </c>
      <c r="E41" s="340" t="s">
        <v>2564</v>
      </c>
      <c r="G41" s="673" t="s">
        <v>2256</v>
      </c>
      <c r="H41" s="652" t="s">
        <v>2600</v>
      </c>
      <c r="I41" s="343" t="n">
        <v>6</v>
      </c>
      <c r="J41" s="343" t="s">
        <v>549</v>
      </c>
      <c r="K41" s="340" t="n">
        <v>3400</v>
      </c>
      <c r="L41" s="340" t="n">
        <v>1300</v>
      </c>
      <c r="N41" s="673" t="s">
        <v>297</v>
      </c>
      <c r="O41" s="42" t="s">
        <v>255</v>
      </c>
      <c r="P41" s="42" t="s">
        <v>703</v>
      </c>
      <c r="Q41" s="340" t="n">
        <v>0</v>
      </c>
    </row>
    <row r="42" customFormat="false" ht="12.75" hidden="false" customHeight="false" outlineLevel="0" collapsed="false">
      <c r="B42" s="673" t="s">
        <v>299</v>
      </c>
      <c r="C42" s="44" t="s">
        <v>259</v>
      </c>
      <c r="D42" s="44" t="s">
        <v>345</v>
      </c>
      <c r="E42" s="340" t="s">
        <v>2564</v>
      </c>
      <c r="G42" s="673" t="s">
        <v>2237</v>
      </c>
      <c r="H42" s="657" t="s">
        <v>2601</v>
      </c>
      <c r="I42" s="343" t="n">
        <v>7</v>
      </c>
      <c r="J42" s="343" t="s">
        <v>2591</v>
      </c>
      <c r="K42" s="340" t="n">
        <v>8900</v>
      </c>
      <c r="L42" s="340" t="n">
        <v>3400</v>
      </c>
      <c r="N42" s="673" t="s">
        <v>300</v>
      </c>
      <c r="O42" s="42" t="s">
        <v>259</v>
      </c>
      <c r="P42" s="42" t="s">
        <v>947</v>
      </c>
      <c r="Q42" s="340" t="n">
        <v>0</v>
      </c>
    </row>
    <row r="43" customFormat="false" ht="12.75" hidden="false" customHeight="false" outlineLevel="0" collapsed="false">
      <c r="B43" s="673" t="s">
        <v>2474</v>
      </c>
      <c r="C43" s="42" t="s">
        <v>270</v>
      </c>
      <c r="D43" s="42" t="s">
        <v>972</v>
      </c>
      <c r="E43" s="340" t="s">
        <v>2602</v>
      </c>
      <c r="G43" s="673" t="s">
        <v>2238</v>
      </c>
      <c r="H43" s="657" t="s">
        <v>2445</v>
      </c>
      <c r="I43" s="343" t="n">
        <v>6</v>
      </c>
      <c r="J43" s="343" t="n">
        <v>2</v>
      </c>
      <c r="K43" s="340" t="n">
        <v>5500</v>
      </c>
      <c r="L43" s="340" t="n">
        <v>2100</v>
      </c>
      <c r="N43" s="673" t="s">
        <v>209</v>
      </c>
      <c r="O43" s="42" t="s">
        <v>255</v>
      </c>
      <c r="P43" s="42" t="s">
        <v>997</v>
      </c>
      <c r="Q43" s="340" t="n">
        <v>1</v>
      </c>
    </row>
    <row r="44" customFormat="false" ht="12.75" hidden="false" customHeight="false" outlineLevel="0" collapsed="false">
      <c r="B44" s="673" t="s">
        <v>2590</v>
      </c>
      <c r="C44" s="44" t="s">
        <v>270</v>
      </c>
      <c r="D44" s="44" t="s">
        <v>972</v>
      </c>
      <c r="E44" s="340" t="s">
        <v>2561</v>
      </c>
      <c r="G44" s="673" t="s">
        <v>2248</v>
      </c>
      <c r="H44" s="657" t="s">
        <v>319</v>
      </c>
      <c r="I44" s="343" t="n">
        <v>7</v>
      </c>
      <c r="J44" s="343" t="n">
        <v>2</v>
      </c>
      <c r="K44" s="340" t="n">
        <v>5500</v>
      </c>
      <c r="L44" s="340" t="n">
        <v>2100</v>
      </c>
      <c r="N44" s="673" t="s">
        <v>304</v>
      </c>
      <c r="O44" s="42" t="s">
        <v>259</v>
      </c>
      <c r="P44" s="42" t="s">
        <v>703</v>
      </c>
      <c r="Q44" s="340" t="n">
        <v>0</v>
      </c>
    </row>
    <row r="45" customFormat="false" ht="12.75" hidden="false" customHeight="false" outlineLevel="0" collapsed="false">
      <c r="B45" s="673" t="s">
        <v>2587</v>
      </c>
      <c r="C45" s="44" t="s">
        <v>253</v>
      </c>
      <c r="D45" s="44" t="s">
        <v>972</v>
      </c>
      <c r="E45" s="340" t="s">
        <v>2568</v>
      </c>
      <c r="G45" s="673" t="s">
        <v>2232</v>
      </c>
      <c r="H45" s="652" t="s">
        <v>2441</v>
      </c>
      <c r="I45" s="343" t="n">
        <v>7</v>
      </c>
      <c r="J45" s="343" t="s">
        <v>549</v>
      </c>
      <c r="K45" s="340" t="n">
        <v>8900</v>
      </c>
      <c r="L45" s="340" t="n">
        <v>3400</v>
      </c>
      <c r="N45" s="673" t="s">
        <v>306</v>
      </c>
      <c r="O45" s="42" t="s">
        <v>259</v>
      </c>
      <c r="P45" s="42" t="s">
        <v>947</v>
      </c>
      <c r="Q45" s="340" t="n">
        <v>1</v>
      </c>
    </row>
    <row r="46" customFormat="false" ht="12.75" hidden="false" customHeight="false" outlineLevel="0" collapsed="false">
      <c r="B46" s="673" t="s">
        <v>2380</v>
      </c>
      <c r="C46" s="44" t="s">
        <v>262</v>
      </c>
      <c r="D46" s="44" t="s">
        <v>972</v>
      </c>
      <c r="E46" s="340" t="s">
        <v>2564</v>
      </c>
      <c r="G46" s="673" t="s">
        <v>2243</v>
      </c>
      <c r="H46" s="657" t="s">
        <v>287</v>
      </c>
      <c r="I46" s="343" t="n">
        <v>4</v>
      </c>
      <c r="J46" s="343" t="n">
        <v>1</v>
      </c>
      <c r="K46" s="340" t="n">
        <v>1300</v>
      </c>
      <c r="L46" s="340" t="n">
        <v>500</v>
      </c>
      <c r="N46" s="673" t="s">
        <v>308</v>
      </c>
      <c r="O46" s="42" t="s">
        <v>255</v>
      </c>
      <c r="P46" s="42" t="s">
        <v>703</v>
      </c>
      <c r="Q46" s="340" t="n">
        <v>0</v>
      </c>
    </row>
    <row r="47" customFormat="false" ht="12.75" hidden="false" customHeight="false" outlineLevel="0" collapsed="false">
      <c r="B47" s="673" t="s">
        <v>2398</v>
      </c>
      <c r="C47" s="42" t="s">
        <v>253</v>
      </c>
      <c r="D47" s="42" t="s">
        <v>345</v>
      </c>
      <c r="E47" s="340" t="s">
        <v>2560</v>
      </c>
      <c r="G47" s="673" t="s">
        <v>2244</v>
      </c>
      <c r="H47" s="652" t="s">
        <v>304</v>
      </c>
      <c r="I47" s="343" t="n">
        <v>5</v>
      </c>
      <c r="J47" s="343" t="n">
        <v>2</v>
      </c>
      <c r="K47" s="340" t="n">
        <v>2100</v>
      </c>
      <c r="L47" s="340" t="n">
        <v>800</v>
      </c>
      <c r="N47" s="673" t="s">
        <v>310</v>
      </c>
      <c r="O47" s="42" t="s">
        <v>259</v>
      </c>
      <c r="P47" s="42" t="s">
        <v>703</v>
      </c>
      <c r="Q47" s="340" t="n">
        <v>1</v>
      </c>
    </row>
    <row r="48" customFormat="false" ht="12.75" hidden="false" customHeight="false" outlineLevel="0" collapsed="false">
      <c r="B48" s="673" t="s">
        <v>2401</v>
      </c>
      <c r="C48" s="44" t="s">
        <v>262</v>
      </c>
      <c r="D48" s="44" t="s">
        <v>345</v>
      </c>
      <c r="E48" s="340" t="s">
        <v>2564</v>
      </c>
      <c r="G48" s="673" t="s">
        <v>2224</v>
      </c>
      <c r="H48" s="652" t="s">
        <v>2575</v>
      </c>
      <c r="I48" s="343" t="n">
        <v>10</v>
      </c>
      <c r="J48" s="343" t="n">
        <v>2</v>
      </c>
      <c r="K48" s="340" t="n">
        <v>23300</v>
      </c>
      <c r="L48" s="340" t="n">
        <v>8900</v>
      </c>
      <c r="N48" s="673" t="s">
        <v>312</v>
      </c>
      <c r="O48" s="42" t="s">
        <v>259</v>
      </c>
      <c r="P48" s="42" t="s">
        <v>703</v>
      </c>
      <c r="Q48" s="340" t="n">
        <v>1</v>
      </c>
    </row>
    <row r="49" customFormat="false" ht="12.75" hidden="false" customHeight="false" outlineLevel="0" collapsed="false">
      <c r="B49" s="673" t="s">
        <v>2577</v>
      </c>
      <c r="C49" s="44" t="s">
        <v>255</v>
      </c>
      <c r="D49" s="44" t="s">
        <v>345</v>
      </c>
      <c r="E49" s="340" t="s">
        <v>2564</v>
      </c>
      <c r="G49" s="673" t="s">
        <v>2230</v>
      </c>
      <c r="H49" s="652" t="s">
        <v>2575</v>
      </c>
      <c r="I49" s="343" t="n">
        <v>3</v>
      </c>
      <c r="J49" s="343" t="n">
        <v>2</v>
      </c>
      <c r="K49" s="340" t="n">
        <v>800</v>
      </c>
      <c r="L49" s="340" t="n">
        <v>300</v>
      </c>
      <c r="N49" s="673" t="s">
        <v>143</v>
      </c>
      <c r="O49" s="42" t="s">
        <v>253</v>
      </c>
      <c r="P49" s="42" t="s">
        <v>947</v>
      </c>
      <c r="Q49" s="340" t="n">
        <v>0</v>
      </c>
    </row>
    <row r="50" customFormat="false" ht="12.75" hidden="false" customHeight="false" outlineLevel="0" collapsed="false">
      <c r="B50" s="673" t="s">
        <v>2440</v>
      </c>
      <c r="C50" s="44" t="s">
        <v>262</v>
      </c>
      <c r="D50" s="44" t="s">
        <v>345</v>
      </c>
      <c r="E50" s="340" t="s">
        <v>2560</v>
      </c>
      <c r="G50" s="673" t="s">
        <v>2236</v>
      </c>
      <c r="H50" s="652" t="s">
        <v>2575</v>
      </c>
      <c r="I50" s="343" t="n">
        <v>6</v>
      </c>
      <c r="J50" s="343" t="n">
        <v>2</v>
      </c>
      <c r="K50" s="340" t="n">
        <v>3400</v>
      </c>
      <c r="L50" s="340" t="n">
        <v>1300</v>
      </c>
      <c r="N50" s="673" t="s">
        <v>319</v>
      </c>
      <c r="O50" s="42" t="s">
        <v>259</v>
      </c>
      <c r="P50" s="42" t="s">
        <v>947</v>
      </c>
      <c r="Q50" s="340" t="n">
        <v>2</v>
      </c>
    </row>
    <row r="51" customFormat="false" ht="12.75" hidden="false" customHeight="false" outlineLevel="0" collapsed="false">
      <c r="B51" s="673" t="s">
        <v>2424</v>
      </c>
      <c r="C51" s="44" t="s">
        <v>253</v>
      </c>
      <c r="D51" s="44" t="s">
        <v>345</v>
      </c>
      <c r="E51" s="340" t="s">
        <v>2560</v>
      </c>
      <c r="G51" s="673" t="s">
        <v>2277</v>
      </c>
      <c r="H51" s="652" t="s">
        <v>2575</v>
      </c>
      <c r="I51" s="343" t="n">
        <v>9</v>
      </c>
      <c r="J51" s="343" t="n">
        <v>2</v>
      </c>
      <c r="K51" s="340" t="n">
        <v>14400</v>
      </c>
      <c r="L51" s="340" t="n">
        <v>5500</v>
      </c>
      <c r="N51" s="673" t="s">
        <v>216</v>
      </c>
      <c r="O51" s="42" t="s">
        <v>255</v>
      </c>
      <c r="P51" s="42" t="s">
        <v>703</v>
      </c>
      <c r="Q51" s="340" t="n">
        <v>0</v>
      </c>
    </row>
    <row r="52" customFormat="false" ht="12.75" hidden="false" customHeight="false" outlineLevel="0" collapsed="false">
      <c r="B52" s="673" t="s">
        <v>2462</v>
      </c>
      <c r="C52" s="44" t="s">
        <v>262</v>
      </c>
      <c r="D52" s="44" t="s">
        <v>345</v>
      </c>
      <c r="E52" s="340" t="s">
        <v>2560</v>
      </c>
      <c r="G52" s="673" t="s">
        <v>2247</v>
      </c>
      <c r="H52" s="652" t="s">
        <v>2575</v>
      </c>
      <c r="I52" s="343" t="n">
        <v>13</v>
      </c>
      <c r="J52" s="343" t="n">
        <v>2</v>
      </c>
      <c r="K52" s="340" t="n">
        <v>98700</v>
      </c>
      <c r="L52" s="340" t="n">
        <v>37700</v>
      </c>
      <c r="N52" s="673" t="s">
        <v>323</v>
      </c>
      <c r="O52" s="42" t="s">
        <v>255</v>
      </c>
      <c r="P52" s="42" t="s">
        <v>947</v>
      </c>
      <c r="Q52" s="340" t="n">
        <v>0</v>
      </c>
    </row>
    <row r="53" customFormat="false" ht="12.75" hidden="false" customHeight="false" outlineLevel="0" collapsed="false">
      <c r="B53" s="673" t="s">
        <v>2603</v>
      </c>
      <c r="C53" s="44" t="s">
        <v>253</v>
      </c>
      <c r="D53" s="44" t="s">
        <v>345</v>
      </c>
      <c r="E53" s="340" t="s">
        <v>2560</v>
      </c>
      <c r="G53" s="673" t="s">
        <v>2253</v>
      </c>
      <c r="H53" s="652" t="s">
        <v>2575</v>
      </c>
      <c r="I53" s="343" t="n">
        <v>3</v>
      </c>
      <c r="J53" s="343" t="n">
        <v>2</v>
      </c>
      <c r="K53" s="340" t="n">
        <v>800</v>
      </c>
      <c r="L53" s="340" t="n">
        <v>300</v>
      </c>
      <c r="N53" s="673" t="s">
        <v>325</v>
      </c>
      <c r="O53" s="42" t="s">
        <v>253</v>
      </c>
      <c r="P53" s="42" t="s">
        <v>703</v>
      </c>
      <c r="Q53" s="340" t="n">
        <v>0</v>
      </c>
    </row>
    <row r="54" customFormat="false" ht="12.75" hidden="false" customHeight="false" outlineLevel="0" collapsed="false">
      <c r="B54" s="673" t="s">
        <v>2604</v>
      </c>
      <c r="C54" s="44" t="s">
        <v>255</v>
      </c>
      <c r="D54" s="44" t="s">
        <v>345</v>
      </c>
      <c r="E54" s="340" t="s">
        <v>2562</v>
      </c>
      <c r="G54" s="673" t="s">
        <v>2250</v>
      </c>
      <c r="H54" s="652" t="s">
        <v>2575</v>
      </c>
      <c r="I54" s="343" t="n">
        <v>5</v>
      </c>
      <c r="J54" s="343" t="n">
        <v>2</v>
      </c>
      <c r="K54" s="340" t="n">
        <v>2100</v>
      </c>
      <c r="L54" s="340" t="n">
        <v>800</v>
      </c>
      <c r="N54" s="673" t="s">
        <v>205</v>
      </c>
      <c r="O54" s="42" t="s">
        <v>255</v>
      </c>
      <c r="P54" s="42" t="s">
        <v>947</v>
      </c>
      <c r="Q54" s="340" t="n">
        <v>0</v>
      </c>
    </row>
    <row r="55" customFormat="false" ht="12.75" hidden="false" customHeight="false" outlineLevel="0" collapsed="false">
      <c r="B55" s="673" t="s">
        <v>2525</v>
      </c>
      <c r="C55" s="44" t="s">
        <v>253</v>
      </c>
      <c r="D55" s="44" t="s">
        <v>345</v>
      </c>
      <c r="E55" s="340" t="s">
        <v>2560</v>
      </c>
      <c r="G55" s="673" t="s">
        <v>2259</v>
      </c>
      <c r="H55" s="652" t="s">
        <v>2271</v>
      </c>
      <c r="I55" s="343" t="n">
        <v>5</v>
      </c>
      <c r="J55" s="343" t="n">
        <v>2</v>
      </c>
      <c r="K55" s="340" t="n">
        <v>2100</v>
      </c>
      <c r="L55" s="340" t="n">
        <v>800</v>
      </c>
      <c r="N55" s="673" t="s">
        <v>328</v>
      </c>
      <c r="O55" s="42" t="s">
        <v>253</v>
      </c>
      <c r="P55" s="42" t="s">
        <v>270</v>
      </c>
      <c r="Q55" s="340" t="n">
        <v>0</v>
      </c>
    </row>
    <row r="56" customFormat="false" ht="12.75" hidden="false" customHeight="false" outlineLevel="0" collapsed="false">
      <c r="B56" s="673" t="s">
        <v>2522</v>
      </c>
      <c r="C56" s="44" t="s">
        <v>262</v>
      </c>
      <c r="D56" s="44" t="s">
        <v>972</v>
      </c>
      <c r="E56" s="340" t="s">
        <v>2561</v>
      </c>
      <c r="G56" s="673" t="s">
        <v>2255</v>
      </c>
      <c r="H56" s="652" t="s">
        <v>2417</v>
      </c>
      <c r="I56" s="343" t="n">
        <v>7</v>
      </c>
      <c r="J56" s="343" t="n">
        <v>3</v>
      </c>
      <c r="K56" s="340" t="n">
        <v>8900</v>
      </c>
      <c r="L56" s="340" t="n">
        <v>3400</v>
      </c>
      <c r="N56" s="673" t="s">
        <v>330</v>
      </c>
      <c r="O56" s="42" t="s">
        <v>255</v>
      </c>
      <c r="P56" s="42" t="s">
        <v>947</v>
      </c>
      <c r="Q56" s="340" t="n">
        <v>0</v>
      </c>
    </row>
    <row r="57" customFormat="false" ht="12.75" hidden="false" customHeight="false" outlineLevel="0" collapsed="false">
      <c r="B57" s="673" t="s">
        <v>2466</v>
      </c>
      <c r="C57" s="44" t="s">
        <v>259</v>
      </c>
      <c r="D57" s="44" t="s">
        <v>972</v>
      </c>
      <c r="E57" s="340" t="s">
        <v>2564</v>
      </c>
      <c r="G57" s="673" t="s">
        <v>2249</v>
      </c>
      <c r="H57" s="652" t="s">
        <v>317</v>
      </c>
      <c r="I57" s="343" t="n">
        <v>5</v>
      </c>
      <c r="J57" s="343" t="s">
        <v>2605</v>
      </c>
      <c r="K57" s="340" t="n">
        <v>2100</v>
      </c>
      <c r="L57" s="340" t="n">
        <v>800</v>
      </c>
      <c r="N57" s="673" t="s">
        <v>331</v>
      </c>
      <c r="O57" s="42" t="s">
        <v>255</v>
      </c>
      <c r="P57" s="42" t="s">
        <v>270</v>
      </c>
      <c r="Q57" s="340" t="n">
        <v>1</v>
      </c>
    </row>
    <row r="58" customFormat="false" ht="12.75" hidden="false" customHeight="false" outlineLevel="0" collapsed="false">
      <c r="B58" s="673" t="s">
        <v>302</v>
      </c>
      <c r="C58" s="44" t="s">
        <v>270</v>
      </c>
      <c r="D58" s="44" t="s">
        <v>345</v>
      </c>
      <c r="E58" s="340" t="s">
        <v>2602</v>
      </c>
      <c r="G58" s="673" t="s">
        <v>2251</v>
      </c>
      <c r="H58" s="652" t="s">
        <v>205</v>
      </c>
      <c r="I58" s="343" t="n">
        <v>6</v>
      </c>
      <c r="J58" s="343" t="n">
        <v>1</v>
      </c>
      <c r="K58" s="340" t="n">
        <v>3400</v>
      </c>
      <c r="L58" s="340" t="n">
        <v>1300</v>
      </c>
      <c r="N58" s="673" t="s">
        <v>332</v>
      </c>
      <c r="O58" s="42"/>
      <c r="P58" s="42" t="s">
        <v>270</v>
      </c>
      <c r="Q58" s="340" t="n">
        <v>1</v>
      </c>
    </row>
    <row r="59" customFormat="false" ht="12.75" hidden="false" customHeight="false" outlineLevel="0" collapsed="false">
      <c r="B59" s="673" t="s">
        <v>2598</v>
      </c>
      <c r="C59" s="44" t="s">
        <v>270</v>
      </c>
      <c r="D59" s="44" t="s">
        <v>972</v>
      </c>
      <c r="E59" s="340" t="s">
        <v>2595</v>
      </c>
      <c r="G59" s="673" t="s">
        <v>2265</v>
      </c>
      <c r="H59" s="652" t="s">
        <v>2470</v>
      </c>
      <c r="I59" s="343" t="n">
        <v>6</v>
      </c>
      <c r="J59" s="343" t="n">
        <v>2</v>
      </c>
      <c r="K59" s="340" t="n">
        <v>5500</v>
      </c>
      <c r="L59" s="340" t="n">
        <v>2100</v>
      </c>
      <c r="N59" s="673" t="s">
        <v>333</v>
      </c>
      <c r="O59" s="42" t="s">
        <v>253</v>
      </c>
      <c r="P59" s="42" t="s">
        <v>703</v>
      </c>
      <c r="Q59" s="340" t="n">
        <v>0</v>
      </c>
    </row>
    <row r="60" customFormat="false" ht="12.75" hidden="false" customHeight="false" outlineLevel="0" collapsed="false">
      <c r="B60" s="673" t="s">
        <v>2600</v>
      </c>
      <c r="C60" s="44" t="s">
        <v>969</v>
      </c>
      <c r="D60" s="44" t="s">
        <v>972</v>
      </c>
      <c r="E60" s="340" t="s">
        <v>2564</v>
      </c>
      <c r="G60" s="673" t="s">
        <v>2269</v>
      </c>
      <c r="H60" s="652" t="s">
        <v>2379</v>
      </c>
      <c r="I60" s="343" t="n">
        <v>5</v>
      </c>
      <c r="J60" s="343" t="n">
        <v>2</v>
      </c>
      <c r="K60" s="340" t="n">
        <v>2100</v>
      </c>
      <c r="L60" s="340" t="n">
        <v>800</v>
      </c>
      <c r="N60" s="673" t="s">
        <v>201</v>
      </c>
      <c r="O60" s="42" t="s">
        <v>255</v>
      </c>
      <c r="P60" s="42" t="s">
        <v>997</v>
      </c>
      <c r="Q60" s="340" t="n">
        <v>1</v>
      </c>
    </row>
    <row r="61" customFormat="false" ht="12.75" hidden="false" customHeight="false" outlineLevel="0" collapsed="false">
      <c r="B61" s="673" t="s">
        <v>303</v>
      </c>
      <c r="C61" s="44" t="s">
        <v>255</v>
      </c>
      <c r="D61" s="44" t="s">
        <v>345</v>
      </c>
      <c r="E61" s="340" t="s">
        <v>2564</v>
      </c>
      <c r="G61" s="673" t="s">
        <v>2268</v>
      </c>
      <c r="H61" s="652" t="s">
        <v>2407</v>
      </c>
      <c r="I61" s="343" t="n">
        <v>7</v>
      </c>
      <c r="J61" s="343" t="n">
        <v>2</v>
      </c>
      <c r="K61" s="340" t="n">
        <v>3400</v>
      </c>
      <c r="L61" s="340" t="n">
        <v>1300</v>
      </c>
      <c r="N61" s="673" t="s">
        <v>347</v>
      </c>
      <c r="O61" s="42" t="s">
        <v>259</v>
      </c>
      <c r="P61" s="42" t="s">
        <v>270</v>
      </c>
      <c r="Q61" s="340" t="n">
        <v>2</v>
      </c>
    </row>
    <row r="62" customFormat="false" ht="12.75" hidden="false" customHeight="false" outlineLevel="0" collapsed="false">
      <c r="B62" s="688" t="s">
        <v>305</v>
      </c>
      <c r="C62" s="689" t="s">
        <v>255</v>
      </c>
      <c r="D62" s="689" t="s">
        <v>345</v>
      </c>
      <c r="E62" s="690" t="s">
        <v>2560</v>
      </c>
      <c r="G62" s="673" t="s">
        <v>2257</v>
      </c>
      <c r="H62" s="657" t="s">
        <v>409</v>
      </c>
      <c r="I62" s="343" t="n">
        <v>6</v>
      </c>
      <c r="J62" s="343" t="n">
        <v>2</v>
      </c>
      <c r="K62" s="340" t="n">
        <v>3400</v>
      </c>
      <c r="L62" s="340" t="n">
        <v>1300</v>
      </c>
      <c r="N62" s="673" t="s">
        <v>350</v>
      </c>
      <c r="O62" s="42" t="s">
        <v>253</v>
      </c>
      <c r="P62" s="42" t="s">
        <v>703</v>
      </c>
      <c r="Q62" s="340" t="n">
        <v>0</v>
      </c>
    </row>
    <row r="63" customFormat="false" ht="12.75" hidden="false" customHeight="false" outlineLevel="0" collapsed="false">
      <c r="B63" s="673" t="s">
        <v>2429</v>
      </c>
      <c r="C63" s="44" t="s">
        <v>255</v>
      </c>
      <c r="D63" s="44" t="s">
        <v>345</v>
      </c>
      <c r="E63" s="340" t="s">
        <v>2562</v>
      </c>
      <c r="G63" s="673" t="s">
        <v>2264</v>
      </c>
      <c r="H63" s="657" t="s">
        <v>2604</v>
      </c>
      <c r="I63" s="343" t="n">
        <v>6</v>
      </c>
      <c r="J63" s="343" t="n">
        <v>2</v>
      </c>
      <c r="K63" s="340" t="n">
        <v>3400</v>
      </c>
      <c r="L63" s="340" t="n">
        <v>1300</v>
      </c>
      <c r="N63" s="673" t="s">
        <v>353</v>
      </c>
      <c r="O63" s="42" t="s">
        <v>255</v>
      </c>
      <c r="P63" s="42" t="s">
        <v>947</v>
      </c>
      <c r="Q63" s="340" t="n">
        <v>0</v>
      </c>
    </row>
    <row r="64" customFormat="false" ht="12.75" hidden="false" customHeight="false" outlineLevel="0" collapsed="false">
      <c r="B64" s="673" t="s">
        <v>2430</v>
      </c>
      <c r="C64" s="44" t="s">
        <v>262</v>
      </c>
      <c r="D64" s="44" t="s">
        <v>345</v>
      </c>
      <c r="E64" s="340" t="s">
        <v>2563</v>
      </c>
      <c r="G64" s="673" t="s">
        <v>2272</v>
      </c>
      <c r="H64" s="657" t="s">
        <v>2443</v>
      </c>
      <c r="I64" s="343" t="n">
        <v>6</v>
      </c>
      <c r="J64" s="343" t="n">
        <v>2</v>
      </c>
      <c r="K64" s="340" t="n">
        <v>3400</v>
      </c>
      <c r="L64" s="340" t="n">
        <v>1300</v>
      </c>
      <c r="N64" s="673" t="s">
        <v>356</v>
      </c>
      <c r="O64" s="42" t="s">
        <v>253</v>
      </c>
      <c r="P64" s="42" t="s">
        <v>703</v>
      </c>
      <c r="Q64" s="340" t="n">
        <v>0</v>
      </c>
    </row>
    <row r="65" customFormat="false" ht="12.75" hidden="false" customHeight="false" outlineLevel="0" collapsed="false">
      <c r="B65" s="673" t="s">
        <v>218</v>
      </c>
      <c r="C65" s="44" t="s">
        <v>255</v>
      </c>
      <c r="D65" s="44" t="s">
        <v>345</v>
      </c>
      <c r="E65" s="340" t="s">
        <v>2560</v>
      </c>
      <c r="G65" s="673" t="s">
        <v>2261</v>
      </c>
      <c r="H65" s="657" t="s">
        <v>2446</v>
      </c>
      <c r="I65" s="343" t="n">
        <v>3</v>
      </c>
      <c r="J65" s="343" t="n">
        <v>0</v>
      </c>
      <c r="K65" s="340" t="n">
        <v>800</v>
      </c>
      <c r="L65" s="340" t="n">
        <v>300</v>
      </c>
      <c r="N65" s="673" t="s">
        <v>359</v>
      </c>
      <c r="O65" s="42" t="s">
        <v>253</v>
      </c>
      <c r="P65" s="42" t="s">
        <v>947</v>
      </c>
      <c r="Q65" s="340" t="n">
        <v>0</v>
      </c>
    </row>
    <row r="66" customFormat="false" ht="12.75" hidden="false" customHeight="false" outlineLevel="0" collapsed="false">
      <c r="B66" s="673" t="s">
        <v>2606</v>
      </c>
      <c r="C66" s="44" t="s">
        <v>259</v>
      </c>
      <c r="D66" s="44" t="s">
        <v>972</v>
      </c>
      <c r="E66" s="340" t="s">
        <v>2607</v>
      </c>
      <c r="G66" s="673" t="s">
        <v>2608</v>
      </c>
      <c r="H66" s="657" t="s">
        <v>347</v>
      </c>
      <c r="I66" s="343" t="n">
        <v>3</v>
      </c>
      <c r="J66" s="343" t="n">
        <v>1</v>
      </c>
      <c r="K66" s="340" t="n">
        <v>300</v>
      </c>
      <c r="L66" s="340" t="n">
        <v>300</v>
      </c>
      <c r="N66" s="673" t="s">
        <v>362</v>
      </c>
      <c r="O66" s="42" t="s">
        <v>253</v>
      </c>
      <c r="P66" s="42" t="s">
        <v>703</v>
      </c>
      <c r="Q66" s="340" t="n">
        <v>0</v>
      </c>
    </row>
    <row r="67" customFormat="false" ht="12.75" hidden="false" customHeight="false" outlineLevel="0" collapsed="false">
      <c r="B67" s="673" t="s">
        <v>309</v>
      </c>
      <c r="C67" s="44" t="s">
        <v>259</v>
      </c>
      <c r="D67" s="44" t="s">
        <v>345</v>
      </c>
      <c r="E67" s="340" t="s">
        <v>2563</v>
      </c>
      <c r="G67" s="673" t="s">
        <v>2609</v>
      </c>
      <c r="H67" s="652" t="s">
        <v>273</v>
      </c>
      <c r="I67" s="343" t="n">
        <v>5</v>
      </c>
      <c r="J67" s="343" t="n">
        <v>1</v>
      </c>
      <c r="K67" s="340" t="n">
        <v>800</v>
      </c>
      <c r="L67" s="340" t="n">
        <v>800</v>
      </c>
      <c r="N67" s="673" t="s">
        <v>364</v>
      </c>
      <c r="O67" s="42" t="s">
        <v>253</v>
      </c>
      <c r="P67" s="42" t="s">
        <v>703</v>
      </c>
      <c r="Q67" s="340" t="n">
        <v>0</v>
      </c>
    </row>
    <row r="68" customFormat="false" ht="12.75" hidden="false" customHeight="false" outlineLevel="0" collapsed="false">
      <c r="B68" s="673" t="s">
        <v>2610</v>
      </c>
      <c r="C68" s="44" t="s">
        <v>253</v>
      </c>
      <c r="D68" s="44" t="s">
        <v>345</v>
      </c>
      <c r="E68" s="340" t="s">
        <v>2564</v>
      </c>
      <c r="G68" s="673" t="s">
        <v>2295</v>
      </c>
      <c r="H68" s="652" t="s">
        <v>2408</v>
      </c>
      <c r="I68" s="343" t="n">
        <v>6</v>
      </c>
      <c r="J68" s="343" t="n">
        <v>4</v>
      </c>
      <c r="K68" s="340" t="n">
        <v>3400</v>
      </c>
      <c r="L68" s="340" t="n">
        <v>1300</v>
      </c>
      <c r="N68" s="673" t="s">
        <v>367</v>
      </c>
      <c r="O68" s="42" t="s">
        <v>262</v>
      </c>
      <c r="P68" s="42" t="s">
        <v>997</v>
      </c>
      <c r="Q68" s="340" t="n">
        <v>1</v>
      </c>
    </row>
    <row r="69" customFormat="false" ht="12.75" hidden="false" customHeight="false" outlineLevel="0" collapsed="false">
      <c r="B69" s="673" t="s">
        <v>2271</v>
      </c>
      <c r="C69" s="44" t="s">
        <v>253</v>
      </c>
      <c r="D69" s="44" t="s">
        <v>345</v>
      </c>
      <c r="E69" s="340" t="s">
        <v>2560</v>
      </c>
      <c r="G69" s="673" t="s">
        <v>2303</v>
      </c>
      <c r="H69" s="652" t="s">
        <v>2414</v>
      </c>
      <c r="I69" s="343" t="n">
        <v>8</v>
      </c>
      <c r="J69" s="343" t="n">
        <v>3</v>
      </c>
      <c r="K69" s="340" t="n">
        <v>8900</v>
      </c>
      <c r="L69" s="340" t="n">
        <v>3400</v>
      </c>
      <c r="N69" s="673" t="s">
        <v>369</v>
      </c>
      <c r="O69" s="42" t="s">
        <v>253</v>
      </c>
      <c r="P69" s="42" t="s">
        <v>703</v>
      </c>
      <c r="Q69" s="340" t="n">
        <v>0</v>
      </c>
    </row>
    <row r="70" customFormat="false" ht="12.75" hidden="false" customHeight="false" outlineLevel="0" collapsed="false">
      <c r="B70" s="673" t="s">
        <v>2461</v>
      </c>
      <c r="C70" s="44" t="s">
        <v>301</v>
      </c>
      <c r="D70" s="44" t="s">
        <v>972</v>
      </c>
      <c r="E70" s="340" t="s">
        <v>2602</v>
      </c>
      <c r="G70" s="673" t="s">
        <v>2266</v>
      </c>
      <c r="H70" s="657" t="s">
        <v>2499</v>
      </c>
      <c r="I70" s="343" t="n">
        <v>7</v>
      </c>
      <c r="J70" s="343" t="n">
        <v>2</v>
      </c>
      <c r="K70" s="340" t="n">
        <v>8900</v>
      </c>
      <c r="L70" s="340" t="n">
        <v>3400</v>
      </c>
      <c r="N70" s="673" t="s">
        <v>373</v>
      </c>
      <c r="O70" s="42" t="s">
        <v>255</v>
      </c>
      <c r="P70" s="42" t="s">
        <v>997</v>
      </c>
      <c r="Q70" s="340" t="n">
        <v>2</v>
      </c>
    </row>
    <row r="71" customFormat="false" ht="12.75" hidden="false" customHeight="false" outlineLevel="0" collapsed="false">
      <c r="B71" s="673" t="s">
        <v>2472</v>
      </c>
      <c r="C71" s="44" t="s">
        <v>270</v>
      </c>
      <c r="D71" s="44" t="s">
        <v>972</v>
      </c>
      <c r="E71" s="340" t="s">
        <v>2562</v>
      </c>
      <c r="G71" s="673" t="s">
        <v>2285</v>
      </c>
      <c r="H71" s="657" t="s">
        <v>2392</v>
      </c>
      <c r="I71" s="343" t="n">
        <v>7</v>
      </c>
      <c r="J71" s="343" t="n">
        <v>2</v>
      </c>
      <c r="K71" s="340" t="n">
        <v>5500</v>
      </c>
      <c r="L71" s="340" t="n">
        <v>2100</v>
      </c>
      <c r="N71" s="673" t="s">
        <v>376</v>
      </c>
      <c r="O71" s="42" t="s">
        <v>255</v>
      </c>
      <c r="P71" s="42" t="s">
        <v>703</v>
      </c>
      <c r="Q71" s="340" t="n">
        <v>0</v>
      </c>
    </row>
    <row r="72" customFormat="false" ht="12.75" hidden="false" customHeight="false" outlineLevel="0" collapsed="false">
      <c r="B72" s="673" t="s">
        <v>317</v>
      </c>
      <c r="C72" s="44" t="s">
        <v>262</v>
      </c>
      <c r="D72" s="44" t="s">
        <v>345</v>
      </c>
      <c r="E72" s="340" t="s">
        <v>2561</v>
      </c>
      <c r="G72" s="673" t="s">
        <v>2267</v>
      </c>
      <c r="H72" s="652" t="s">
        <v>2381</v>
      </c>
      <c r="I72" s="343" t="n">
        <v>5</v>
      </c>
      <c r="J72" s="343" t="n">
        <v>2</v>
      </c>
      <c r="K72" s="340" t="n">
        <v>2100</v>
      </c>
      <c r="L72" s="340" t="n">
        <v>800</v>
      </c>
      <c r="N72" s="673" t="s">
        <v>378</v>
      </c>
      <c r="O72" s="42" t="s">
        <v>253</v>
      </c>
      <c r="P72" s="42" t="s">
        <v>947</v>
      </c>
      <c r="Q72" s="340" t="n">
        <v>1</v>
      </c>
    </row>
    <row r="73" customFormat="false" ht="12.75" hidden="false" customHeight="false" outlineLevel="0" collapsed="false">
      <c r="B73" s="673" t="s">
        <v>1382</v>
      </c>
      <c r="C73" s="44" t="s">
        <v>255</v>
      </c>
      <c r="D73" s="44" t="s">
        <v>972</v>
      </c>
      <c r="E73" s="340" t="s">
        <v>2560</v>
      </c>
      <c r="G73" s="673" t="s">
        <v>2254</v>
      </c>
      <c r="H73" s="657" t="s">
        <v>256</v>
      </c>
      <c r="I73" s="343" t="n">
        <v>7</v>
      </c>
      <c r="J73" s="343" t="n">
        <v>2</v>
      </c>
      <c r="K73" s="340" t="n">
        <v>5500</v>
      </c>
      <c r="L73" s="340" t="n">
        <v>2100</v>
      </c>
      <c r="N73" s="673" t="s">
        <v>381</v>
      </c>
      <c r="O73" s="42" t="s">
        <v>255</v>
      </c>
      <c r="P73" s="42" t="s">
        <v>270</v>
      </c>
      <c r="Q73" s="340" t="n">
        <v>2</v>
      </c>
    </row>
    <row r="74" customFormat="false" ht="12.75" hidden="false" customHeight="false" outlineLevel="0" collapsed="false">
      <c r="B74" s="673" t="s">
        <v>2469</v>
      </c>
      <c r="C74" s="44" t="s">
        <v>253</v>
      </c>
      <c r="D74" s="44" t="s">
        <v>345</v>
      </c>
      <c r="E74" s="340" t="s">
        <v>2560</v>
      </c>
      <c r="G74" s="673" t="s">
        <v>2292</v>
      </c>
      <c r="H74" s="657" t="s">
        <v>309</v>
      </c>
      <c r="I74" s="343" t="n">
        <v>4</v>
      </c>
      <c r="J74" s="343" t="n">
        <v>2</v>
      </c>
      <c r="K74" s="340" t="n">
        <v>1300</v>
      </c>
      <c r="L74" s="340" t="n">
        <v>500</v>
      </c>
      <c r="N74" s="673" t="s">
        <v>383</v>
      </c>
      <c r="O74" s="42" t="s">
        <v>255</v>
      </c>
      <c r="P74" s="42" t="s">
        <v>270</v>
      </c>
      <c r="Q74" s="340" t="n">
        <v>2</v>
      </c>
    </row>
    <row r="75" customFormat="false" ht="12.75" hidden="false" customHeight="false" outlineLevel="0" collapsed="false">
      <c r="B75" s="673" t="s">
        <v>2534</v>
      </c>
      <c r="C75" s="44" t="s">
        <v>253</v>
      </c>
      <c r="D75" s="44" t="s">
        <v>972</v>
      </c>
      <c r="E75" s="340" t="s">
        <v>2564</v>
      </c>
      <c r="G75" s="673" t="s">
        <v>2286</v>
      </c>
      <c r="H75" s="652" t="s">
        <v>2611</v>
      </c>
      <c r="I75" s="343" t="n">
        <v>7</v>
      </c>
      <c r="J75" s="343" t="n">
        <v>4</v>
      </c>
      <c r="K75" s="340" t="n">
        <v>8900</v>
      </c>
      <c r="L75" s="340" t="n">
        <v>3400</v>
      </c>
      <c r="N75" s="673" t="s">
        <v>386</v>
      </c>
      <c r="O75" s="42" t="s">
        <v>255</v>
      </c>
      <c r="P75" s="42" t="s">
        <v>270</v>
      </c>
      <c r="Q75" s="340" t="n">
        <v>1</v>
      </c>
    </row>
    <row r="76" customFormat="false" ht="12.75" hidden="false" customHeight="false" outlineLevel="0" collapsed="false">
      <c r="B76" s="673" t="s">
        <v>208</v>
      </c>
      <c r="C76" s="44" t="s">
        <v>253</v>
      </c>
      <c r="D76" s="44" t="s">
        <v>345</v>
      </c>
      <c r="E76" s="340" t="s">
        <v>2560</v>
      </c>
      <c r="G76" s="673" t="s">
        <v>2262</v>
      </c>
      <c r="H76" s="652" t="s">
        <v>304</v>
      </c>
      <c r="I76" s="343" t="n">
        <v>7</v>
      </c>
      <c r="J76" s="343" t="n">
        <v>2</v>
      </c>
      <c r="K76" s="340" t="n">
        <v>5500</v>
      </c>
      <c r="L76" s="340" t="n">
        <v>2100</v>
      </c>
      <c r="N76" s="673" t="s">
        <v>390</v>
      </c>
      <c r="O76" s="42" t="s">
        <v>259</v>
      </c>
      <c r="P76" s="42" t="s">
        <v>703</v>
      </c>
      <c r="Q76" s="340" t="n">
        <v>0</v>
      </c>
    </row>
    <row r="77" customFormat="false" ht="12.75" hidden="false" customHeight="false" outlineLevel="0" collapsed="false">
      <c r="B77" s="673" t="s">
        <v>320</v>
      </c>
      <c r="C77" s="44" t="s">
        <v>253</v>
      </c>
      <c r="D77" s="44" t="s">
        <v>345</v>
      </c>
      <c r="E77" s="340" t="s">
        <v>2560</v>
      </c>
      <c r="G77" s="673" t="s">
        <v>2281</v>
      </c>
      <c r="H77" s="652" t="s">
        <v>2458</v>
      </c>
      <c r="I77" s="343" t="n">
        <v>2</v>
      </c>
      <c r="J77" s="343" t="s">
        <v>549</v>
      </c>
      <c r="K77" s="340" t="n">
        <v>800</v>
      </c>
      <c r="L77" s="340" t="n">
        <v>300</v>
      </c>
      <c r="N77" s="673" t="s">
        <v>393</v>
      </c>
      <c r="O77" s="42" t="s">
        <v>270</v>
      </c>
      <c r="P77" s="42" t="s">
        <v>997</v>
      </c>
      <c r="Q77" s="340" t="n">
        <v>1</v>
      </c>
    </row>
    <row r="78" customFormat="false" ht="12.75" hidden="false" customHeight="false" outlineLevel="0" collapsed="false">
      <c r="B78" s="673" t="s">
        <v>2536</v>
      </c>
      <c r="C78" s="44" t="s">
        <v>253</v>
      </c>
      <c r="D78" s="44" t="s">
        <v>345</v>
      </c>
      <c r="E78" s="340" t="s">
        <v>2560</v>
      </c>
      <c r="G78" s="673" t="s">
        <v>2258</v>
      </c>
      <c r="H78" s="652" t="s">
        <v>287</v>
      </c>
      <c r="I78" s="343" t="n">
        <v>7</v>
      </c>
      <c r="J78" s="343" t="n">
        <v>2</v>
      </c>
      <c r="K78" s="340" t="n">
        <v>5500</v>
      </c>
      <c r="L78" s="340" t="n">
        <v>2100</v>
      </c>
      <c r="N78" s="673" t="s">
        <v>395</v>
      </c>
      <c r="O78" s="42" t="s">
        <v>255</v>
      </c>
      <c r="P78" s="42" t="s">
        <v>947</v>
      </c>
      <c r="Q78" s="340" t="n">
        <v>0</v>
      </c>
    </row>
    <row r="79" customFormat="false" ht="12.75" hidden="false" customHeight="false" outlineLevel="0" collapsed="false">
      <c r="B79" s="673" t="s">
        <v>322</v>
      </c>
      <c r="C79" s="44" t="s">
        <v>259</v>
      </c>
      <c r="D79" s="44" t="s">
        <v>345</v>
      </c>
      <c r="E79" s="340" t="s">
        <v>2563</v>
      </c>
      <c r="G79" s="673" t="s">
        <v>2289</v>
      </c>
      <c r="H79" s="652" t="s">
        <v>424</v>
      </c>
      <c r="I79" s="343" t="n">
        <v>6</v>
      </c>
      <c r="J79" s="343" t="n">
        <v>3</v>
      </c>
      <c r="K79" s="340" t="n">
        <v>3400</v>
      </c>
      <c r="L79" s="340" t="n">
        <v>1300</v>
      </c>
      <c r="N79" s="673" t="s">
        <v>204</v>
      </c>
      <c r="O79" s="42" t="s">
        <v>259</v>
      </c>
      <c r="P79" s="42" t="s">
        <v>947</v>
      </c>
      <c r="Q79" s="340" t="n">
        <v>2</v>
      </c>
    </row>
    <row r="80" customFormat="false" ht="12.75" hidden="false" customHeight="false" outlineLevel="0" collapsed="false">
      <c r="B80" s="673" t="s">
        <v>2402</v>
      </c>
      <c r="C80" s="44" t="s">
        <v>253</v>
      </c>
      <c r="D80" s="44" t="s">
        <v>972</v>
      </c>
      <c r="E80" s="340" t="s">
        <v>2568</v>
      </c>
      <c r="G80" s="673" t="s">
        <v>2298</v>
      </c>
      <c r="H80" s="652" t="s">
        <v>424</v>
      </c>
      <c r="I80" s="343" t="n">
        <v>5</v>
      </c>
      <c r="J80" s="343" t="n">
        <v>3</v>
      </c>
      <c r="K80" s="340" t="n">
        <v>2100</v>
      </c>
      <c r="L80" s="340" t="n">
        <v>800</v>
      </c>
      <c r="N80" s="673" t="s">
        <v>398</v>
      </c>
      <c r="O80" s="42"/>
      <c r="P80" s="42" t="s">
        <v>270</v>
      </c>
      <c r="Q80" s="340" t="n">
        <v>3</v>
      </c>
    </row>
    <row r="81" customFormat="false" ht="12.75" hidden="false" customHeight="false" outlineLevel="0" collapsed="false">
      <c r="B81" s="673" t="s">
        <v>2427</v>
      </c>
      <c r="C81" s="44" t="s">
        <v>253</v>
      </c>
      <c r="D81" s="44" t="s">
        <v>972</v>
      </c>
      <c r="E81" s="340" t="s">
        <v>2568</v>
      </c>
      <c r="G81" s="673" t="s">
        <v>2325</v>
      </c>
      <c r="H81" s="652" t="s">
        <v>2408</v>
      </c>
      <c r="I81" s="343" t="n">
        <v>3</v>
      </c>
      <c r="J81" s="343" t="n">
        <v>1</v>
      </c>
      <c r="K81" s="340" t="n">
        <v>800</v>
      </c>
      <c r="L81" s="340" t="n">
        <v>300</v>
      </c>
      <c r="N81" s="673" t="s">
        <v>400</v>
      </c>
      <c r="O81" s="42" t="s">
        <v>259</v>
      </c>
      <c r="P81" s="42" t="s">
        <v>703</v>
      </c>
      <c r="Q81" s="340" t="n">
        <v>0</v>
      </c>
    </row>
    <row r="82" customFormat="false" ht="12.75" hidden="false" customHeight="false" outlineLevel="0" collapsed="false">
      <c r="B82" s="673" t="s">
        <v>256</v>
      </c>
      <c r="C82" s="44" t="s">
        <v>255</v>
      </c>
      <c r="D82" s="44" t="s">
        <v>345</v>
      </c>
      <c r="E82" s="340" t="s">
        <v>2560</v>
      </c>
      <c r="G82" s="673" t="s">
        <v>2263</v>
      </c>
      <c r="H82" s="657" t="s">
        <v>2406</v>
      </c>
      <c r="I82" s="343" t="n">
        <v>6</v>
      </c>
      <c r="J82" s="343" t="n">
        <v>3</v>
      </c>
      <c r="K82" s="340" t="n">
        <v>3400</v>
      </c>
      <c r="L82" s="340" t="n">
        <v>1300</v>
      </c>
      <c r="N82" s="673" t="s">
        <v>402</v>
      </c>
      <c r="O82" s="42" t="s">
        <v>270</v>
      </c>
      <c r="P82" s="42" t="s">
        <v>997</v>
      </c>
      <c r="Q82" s="340" t="n">
        <v>0</v>
      </c>
    </row>
    <row r="83" customFormat="false" ht="12.75" hidden="false" customHeight="false" outlineLevel="0" collapsed="false">
      <c r="B83" s="673" t="s">
        <v>210</v>
      </c>
      <c r="C83" s="44" t="s">
        <v>255</v>
      </c>
      <c r="D83" s="44" t="s">
        <v>345</v>
      </c>
      <c r="E83" s="340" t="s">
        <v>2560</v>
      </c>
      <c r="G83" s="673" t="s">
        <v>2273</v>
      </c>
      <c r="H83" s="652" t="s">
        <v>209</v>
      </c>
      <c r="I83" s="343" t="n">
        <v>5</v>
      </c>
      <c r="J83" s="343" t="n">
        <v>2</v>
      </c>
      <c r="K83" s="340" t="n">
        <v>2100</v>
      </c>
      <c r="L83" s="340" t="n">
        <v>800</v>
      </c>
      <c r="N83" s="673" t="s">
        <v>404</v>
      </c>
      <c r="O83" s="42" t="s">
        <v>270</v>
      </c>
      <c r="P83" s="42" t="s">
        <v>997</v>
      </c>
      <c r="Q83" s="340" t="n">
        <v>1</v>
      </c>
    </row>
    <row r="84" customFormat="false" ht="12.75" hidden="false" customHeight="false" outlineLevel="0" collapsed="false">
      <c r="B84" s="673" t="s">
        <v>2387</v>
      </c>
      <c r="C84" s="44" t="s">
        <v>253</v>
      </c>
      <c r="D84" s="44" t="s">
        <v>972</v>
      </c>
      <c r="E84" s="340" t="s">
        <v>2564</v>
      </c>
      <c r="G84" s="673" t="s">
        <v>2274</v>
      </c>
      <c r="H84" s="652" t="s">
        <v>2403</v>
      </c>
      <c r="I84" s="343" t="n">
        <v>5</v>
      </c>
      <c r="J84" s="343" t="n">
        <v>1</v>
      </c>
      <c r="K84" s="340" t="n">
        <v>2100</v>
      </c>
      <c r="L84" s="340" t="n">
        <v>800</v>
      </c>
      <c r="N84" s="673" t="s">
        <v>407</v>
      </c>
      <c r="O84" s="42" t="s">
        <v>255</v>
      </c>
      <c r="P84" s="42" t="s">
        <v>997</v>
      </c>
      <c r="Q84" s="340" t="n">
        <v>1</v>
      </c>
    </row>
    <row r="85" customFormat="false" ht="12.75" hidden="false" customHeight="false" outlineLevel="0" collapsed="false">
      <c r="B85" s="673" t="s">
        <v>266</v>
      </c>
      <c r="C85" s="44" t="s">
        <v>259</v>
      </c>
      <c r="D85" s="44" t="s">
        <v>345</v>
      </c>
      <c r="E85" s="340" t="s">
        <v>2564</v>
      </c>
      <c r="G85" s="673" t="s">
        <v>2278</v>
      </c>
      <c r="H85" s="652" t="s">
        <v>2412</v>
      </c>
      <c r="I85" s="343" t="n">
        <v>3</v>
      </c>
      <c r="J85" s="343" t="n">
        <v>2</v>
      </c>
      <c r="K85" s="340" t="n">
        <v>800</v>
      </c>
      <c r="L85" s="340" t="n">
        <v>300</v>
      </c>
      <c r="N85" s="673" t="s">
        <v>409</v>
      </c>
      <c r="O85" s="42" t="s">
        <v>270</v>
      </c>
      <c r="P85" s="42" t="s">
        <v>947</v>
      </c>
      <c r="Q85" s="340" t="n">
        <v>0</v>
      </c>
    </row>
    <row r="86" customFormat="false" ht="12.75" hidden="false" customHeight="false" outlineLevel="0" collapsed="false">
      <c r="B86" s="673" t="s">
        <v>2500</v>
      </c>
      <c r="C86" s="44" t="s">
        <v>270</v>
      </c>
      <c r="D86" s="44" t="s">
        <v>345</v>
      </c>
      <c r="E86" s="340" t="s">
        <v>2562</v>
      </c>
      <c r="G86" s="673" t="s">
        <v>2283</v>
      </c>
      <c r="H86" s="652" t="s">
        <v>2549</v>
      </c>
      <c r="I86" s="343" t="n">
        <v>6</v>
      </c>
      <c r="J86" s="343" t="n">
        <v>2</v>
      </c>
      <c r="K86" s="340" t="n">
        <v>8900</v>
      </c>
      <c r="L86" s="340" t="n">
        <v>3400</v>
      </c>
      <c r="N86" s="673" t="s">
        <v>411</v>
      </c>
      <c r="O86" s="42" t="s">
        <v>253</v>
      </c>
      <c r="P86" s="42" t="s">
        <v>947</v>
      </c>
      <c r="Q86" s="340" t="n">
        <v>0</v>
      </c>
    </row>
    <row r="87" customFormat="false" ht="12.75" hidden="false" customHeight="false" outlineLevel="0" collapsed="false">
      <c r="B87" s="673" t="s">
        <v>2612</v>
      </c>
      <c r="C87" s="44" t="s">
        <v>262</v>
      </c>
      <c r="D87" s="44" t="s">
        <v>345</v>
      </c>
      <c r="E87" s="340" t="s">
        <v>2560</v>
      </c>
      <c r="G87" s="673" t="s">
        <v>2301</v>
      </c>
      <c r="H87" s="652" t="s">
        <v>347</v>
      </c>
      <c r="I87" s="343" t="n">
        <v>1</v>
      </c>
      <c r="J87" s="343" t="n">
        <v>3</v>
      </c>
      <c r="K87" s="340" t="n">
        <v>300</v>
      </c>
      <c r="L87" s="340" t="n">
        <v>100</v>
      </c>
      <c r="N87" s="673" t="s">
        <v>414</v>
      </c>
      <c r="O87" s="42" t="s">
        <v>259</v>
      </c>
      <c r="P87" s="42" t="s">
        <v>947</v>
      </c>
      <c r="Q87" s="340" t="n">
        <v>1</v>
      </c>
    </row>
    <row r="88" customFormat="false" ht="12.75" hidden="false" customHeight="false" outlineLevel="0" collapsed="false">
      <c r="B88" s="673" t="s">
        <v>2405</v>
      </c>
      <c r="C88" s="44" t="s">
        <v>262</v>
      </c>
      <c r="D88" s="44" t="s">
        <v>345</v>
      </c>
      <c r="E88" s="340" t="s">
        <v>2560</v>
      </c>
      <c r="G88" s="673" t="s">
        <v>2287</v>
      </c>
      <c r="H88" s="652" t="s">
        <v>1009</v>
      </c>
      <c r="I88" s="343" t="n">
        <v>7</v>
      </c>
      <c r="J88" s="343" t="n">
        <v>2</v>
      </c>
      <c r="K88" s="340" t="n">
        <v>5500</v>
      </c>
      <c r="L88" s="340" t="n">
        <v>2100</v>
      </c>
      <c r="N88" s="673" t="s">
        <v>417</v>
      </c>
      <c r="O88" s="42" t="s">
        <v>255</v>
      </c>
      <c r="P88" s="42" t="s">
        <v>947</v>
      </c>
      <c r="Q88" s="340" t="n">
        <v>0</v>
      </c>
    </row>
    <row r="89" customFormat="false" ht="12.75" hidden="false" customHeight="false" outlineLevel="0" collapsed="false">
      <c r="B89" s="673" t="s">
        <v>2613</v>
      </c>
      <c r="C89" s="44" t="s">
        <v>255</v>
      </c>
      <c r="D89" s="44" t="s">
        <v>972</v>
      </c>
      <c r="E89" s="340" t="s">
        <v>2562</v>
      </c>
      <c r="G89" s="636" t="s">
        <v>2290</v>
      </c>
      <c r="H89" s="210" t="s">
        <v>2420</v>
      </c>
      <c r="I89" s="42" t="n">
        <v>6</v>
      </c>
      <c r="J89" s="42" t="n">
        <v>2</v>
      </c>
      <c r="K89" s="44" t="n">
        <v>3400</v>
      </c>
      <c r="L89" s="597" t="n">
        <v>1300</v>
      </c>
      <c r="N89" s="673" t="s">
        <v>419</v>
      </c>
      <c r="O89" s="42" t="s">
        <v>253</v>
      </c>
      <c r="P89" s="42" t="s">
        <v>947</v>
      </c>
      <c r="Q89" s="340" t="n">
        <v>1</v>
      </c>
    </row>
    <row r="90" customFormat="false" ht="12.75" hidden="false" customHeight="false" outlineLevel="0" collapsed="false">
      <c r="B90" s="673" t="s">
        <v>269</v>
      </c>
      <c r="C90" s="44" t="s">
        <v>270</v>
      </c>
      <c r="D90" s="44" t="s">
        <v>345</v>
      </c>
      <c r="E90" s="340" t="s">
        <v>2562</v>
      </c>
      <c r="G90" s="636" t="s">
        <v>2270</v>
      </c>
      <c r="H90" s="657" t="s">
        <v>2575</v>
      </c>
      <c r="I90" s="343" t="n">
        <v>5</v>
      </c>
      <c r="J90" s="343" t="n">
        <v>0</v>
      </c>
      <c r="K90" s="340" t="n">
        <v>2100</v>
      </c>
      <c r="L90" s="340" t="n">
        <v>800</v>
      </c>
      <c r="N90" s="673" t="s">
        <v>422</v>
      </c>
      <c r="O90" s="42" t="s">
        <v>255</v>
      </c>
      <c r="P90" s="42" t="s">
        <v>997</v>
      </c>
      <c r="Q90" s="340" t="n">
        <v>1</v>
      </c>
    </row>
    <row r="91" customFormat="false" ht="12.75" hidden="false" customHeight="false" outlineLevel="0" collapsed="false">
      <c r="B91" s="673" t="s">
        <v>207</v>
      </c>
      <c r="C91" s="44" t="s">
        <v>301</v>
      </c>
      <c r="D91" s="44" t="s">
        <v>345</v>
      </c>
      <c r="E91" s="340" t="s">
        <v>2574</v>
      </c>
      <c r="G91" s="636" t="s">
        <v>2308</v>
      </c>
      <c r="H91" s="657" t="s">
        <v>2413</v>
      </c>
      <c r="I91" s="343" t="n">
        <v>7</v>
      </c>
      <c r="J91" s="343" t="n">
        <v>6</v>
      </c>
      <c r="K91" s="340" t="n">
        <v>5500</v>
      </c>
      <c r="L91" s="340" t="n">
        <v>2100</v>
      </c>
      <c r="N91" s="673" t="s">
        <v>424</v>
      </c>
      <c r="O91" s="42" t="s">
        <v>255</v>
      </c>
      <c r="P91" s="42" t="s">
        <v>270</v>
      </c>
      <c r="Q91" s="340" t="n">
        <v>1</v>
      </c>
    </row>
    <row r="92" customFormat="false" ht="12.75" hidden="false" customHeight="false" outlineLevel="0" collapsed="false">
      <c r="B92" s="673" t="s">
        <v>2464</v>
      </c>
      <c r="C92" s="44" t="s">
        <v>253</v>
      </c>
      <c r="D92" s="44" t="s">
        <v>345</v>
      </c>
      <c r="E92" s="340" t="s">
        <v>2561</v>
      </c>
      <c r="G92" s="636" t="s">
        <v>2328</v>
      </c>
      <c r="H92" s="657" t="s">
        <v>353</v>
      </c>
      <c r="I92" s="343" t="n">
        <v>4</v>
      </c>
      <c r="J92" s="343" t="n">
        <v>2</v>
      </c>
      <c r="K92" s="340" t="n">
        <v>1300</v>
      </c>
      <c r="L92" s="340" t="n">
        <v>500</v>
      </c>
      <c r="N92" s="673" t="s">
        <v>426</v>
      </c>
      <c r="O92" s="42" t="s">
        <v>270</v>
      </c>
      <c r="P92" s="42" t="s">
        <v>270</v>
      </c>
      <c r="Q92" s="340" t="n">
        <v>0</v>
      </c>
    </row>
    <row r="93" customFormat="false" ht="12.75" hidden="false" customHeight="false" outlineLevel="0" collapsed="false">
      <c r="B93" s="673" t="s">
        <v>2527</v>
      </c>
      <c r="C93" s="44" t="s">
        <v>262</v>
      </c>
      <c r="D93" s="44" t="s">
        <v>972</v>
      </c>
      <c r="E93" s="340" t="s">
        <v>2564</v>
      </c>
      <c r="G93" s="673" t="s">
        <v>2299</v>
      </c>
      <c r="H93" s="652" t="s">
        <v>2430</v>
      </c>
      <c r="I93" s="343" t="n">
        <v>4</v>
      </c>
      <c r="J93" s="343" t="n">
        <v>2</v>
      </c>
      <c r="K93" s="340" t="n">
        <v>2100</v>
      </c>
      <c r="L93" s="340" t="n">
        <v>800</v>
      </c>
      <c r="N93" s="673" t="s">
        <v>429</v>
      </c>
      <c r="O93" s="42" t="s">
        <v>255</v>
      </c>
      <c r="P93" s="42" t="s">
        <v>947</v>
      </c>
      <c r="Q93" s="340" t="n">
        <v>2</v>
      </c>
    </row>
    <row r="94" customFormat="false" ht="12.75" hidden="false" customHeight="false" outlineLevel="0" collapsed="false">
      <c r="B94" s="673" t="s">
        <v>2614</v>
      </c>
      <c r="C94" s="44" t="s">
        <v>969</v>
      </c>
      <c r="D94" s="44" t="s">
        <v>345</v>
      </c>
      <c r="E94" s="340" t="s">
        <v>2564</v>
      </c>
      <c r="G94" s="673" t="s">
        <v>2293</v>
      </c>
      <c r="H94" s="652" t="s">
        <v>2445</v>
      </c>
      <c r="I94" s="343" t="n">
        <v>8</v>
      </c>
      <c r="J94" s="343" t="n">
        <v>4</v>
      </c>
      <c r="K94" s="340" t="n">
        <v>14400</v>
      </c>
      <c r="L94" s="340" t="n">
        <v>5500</v>
      </c>
      <c r="N94" s="673" t="s">
        <v>431</v>
      </c>
      <c r="O94" s="42" t="s">
        <v>255</v>
      </c>
      <c r="P94" s="42" t="s">
        <v>270</v>
      </c>
      <c r="Q94" s="340" t="n">
        <v>1</v>
      </c>
    </row>
    <row r="95" customFormat="false" ht="12.75" hidden="false" customHeight="false" outlineLevel="0" collapsed="false">
      <c r="B95" s="673" t="s">
        <v>206</v>
      </c>
      <c r="C95" s="44" t="s">
        <v>969</v>
      </c>
      <c r="D95" s="44" t="s">
        <v>972</v>
      </c>
      <c r="E95" s="340" t="s">
        <v>2564</v>
      </c>
      <c r="G95" s="673" t="s">
        <v>2275</v>
      </c>
      <c r="H95" s="652" t="s">
        <v>426</v>
      </c>
      <c r="I95" s="343" t="n">
        <v>5</v>
      </c>
      <c r="J95" s="343" t="n">
        <v>2</v>
      </c>
      <c r="K95" s="340" t="n">
        <v>2100</v>
      </c>
      <c r="L95" s="340" t="n">
        <v>800</v>
      </c>
      <c r="N95" s="673" t="s">
        <v>433</v>
      </c>
      <c r="O95" s="42" t="s">
        <v>253</v>
      </c>
      <c r="P95" s="42" t="s">
        <v>703</v>
      </c>
      <c r="Q95" s="340" t="n">
        <v>0</v>
      </c>
    </row>
    <row r="96" customFormat="false" ht="12.75" hidden="false" customHeight="false" outlineLevel="0" collapsed="false">
      <c r="B96" s="673" t="s">
        <v>2531</v>
      </c>
      <c r="C96" s="44" t="s">
        <v>253</v>
      </c>
      <c r="D96" s="44" t="s">
        <v>345</v>
      </c>
      <c r="E96" s="340" t="s">
        <v>2560</v>
      </c>
      <c r="G96" s="673" t="s">
        <v>2306</v>
      </c>
      <c r="H96" s="652" t="s">
        <v>2441</v>
      </c>
      <c r="I96" s="343" t="n">
        <v>5</v>
      </c>
      <c r="J96" s="343" t="s">
        <v>2572</v>
      </c>
      <c r="K96" s="340" t="n">
        <v>3400</v>
      </c>
      <c r="L96" s="340" t="n">
        <v>1300</v>
      </c>
      <c r="N96" s="673" t="s">
        <v>437</v>
      </c>
      <c r="O96" s="42" t="s">
        <v>270</v>
      </c>
      <c r="P96" s="42" t="s">
        <v>997</v>
      </c>
      <c r="Q96" s="340" t="n">
        <v>0</v>
      </c>
    </row>
    <row r="97" customFormat="false" ht="12.75" hidden="false" customHeight="false" outlineLevel="0" collapsed="false">
      <c r="B97" s="673" t="s">
        <v>2615</v>
      </c>
      <c r="C97" s="44" t="s">
        <v>253</v>
      </c>
      <c r="D97" s="44" t="s">
        <v>345</v>
      </c>
      <c r="E97" s="340" t="s">
        <v>2561</v>
      </c>
      <c r="G97" s="673" t="s">
        <v>2616</v>
      </c>
      <c r="H97" s="652" t="s">
        <v>304</v>
      </c>
      <c r="I97" s="343" t="n">
        <v>5</v>
      </c>
      <c r="J97" s="343" t="n">
        <v>0</v>
      </c>
      <c r="K97" s="340" t="n">
        <v>2100</v>
      </c>
      <c r="L97" s="340" t="n">
        <v>2100</v>
      </c>
      <c r="N97" s="673"/>
      <c r="O97" s="42"/>
      <c r="P97" s="42"/>
      <c r="Q97" s="340"/>
    </row>
    <row r="98" customFormat="false" ht="12.75" hidden="false" customHeight="false" outlineLevel="0" collapsed="false">
      <c r="B98" s="673" t="s">
        <v>2617</v>
      </c>
      <c r="C98" s="44" t="s">
        <v>262</v>
      </c>
      <c r="D98" s="44" t="s">
        <v>345</v>
      </c>
      <c r="E98" s="340" t="s">
        <v>2560</v>
      </c>
      <c r="G98" s="673" t="s">
        <v>2316</v>
      </c>
      <c r="H98" s="657" t="s">
        <v>2618</v>
      </c>
      <c r="I98" s="343" t="n">
        <v>7</v>
      </c>
      <c r="J98" s="343" t="n">
        <v>3</v>
      </c>
      <c r="K98" s="340" t="n">
        <v>23300</v>
      </c>
      <c r="L98" s="340" t="n">
        <v>8900</v>
      </c>
      <c r="N98" s="673"/>
      <c r="O98" s="42"/>
      <c r="P98" s="42"/>
      <c r="Q98" s="340"/>
    </row>
    <row r="99" customFormat="false" ht="12.75" hidden="false" customHeight="false" outlineLevel="0" collapsed="false">
      <c r="B99" s="673" t="s">
        <v>2432</v>
      </c>
      <c r="C99" s="44" t="s">
        <v>253</v>
      </c>
      <c r="D99" s="44" t="s">
        <v>972</v>
      </c>
      <c r="E99" s="340" t="s">
        <v>2560</v>
      </c>
      <c r="G99" s="673" t="s">
        <v>2312</v>
      </c>
      <c r="H99" s="657" t="s">
        <v>2553</v>
      </c>
      <c r="I99" s="343" t="n">
        <v>9</v>
      </c>
      <c r="J99" s="343" t="n">
        <v>4</v>
      </c>
      <c r="K99" s="340" t="n">
        <v>37700</v>
      </c>
      <c r="L99" s="340" t="n">
        <v>14400</v>
      </c>
      <c r="N99" s="673"/>
      <c r="O99" s="42"/>
      <c r="P99" s="42"/>
      <c r="Q99" s="340"/>
    </row>
    <row r="100" customFormat="false" ht="12.75" hidden="false" customHeight="false" outlineLevel="0" collapsed="false">
      <c r="B100" s="673" t="s">
        <v>2530</v>
      </c>
      <c r="C100" s="44" t="s">
        <v>262</v>
      </c>
      <c r="D100" s="44" t="s">
        <v>972</v>
      </c>
      <c r="E100" s="340" t="s">
        <v>2568</v>
      </c>
      <c r="G100" s="673" t="s">
        <v>2288</v>
      </c>
      <c r="H100" s="657" t="s">
        <v>2601</v>
      </c>
      <c r="I100" s="343" t="n">
        <v>7</v>
      </c>
      <c r="J100" s="343" t="n">
        <v>1</v>
      </c>
      <c r="K100" s="340" t="n">
        <v>8900</v>
      </c>
      <c r="L100" s="340" t="n">
        <v>3400</v>
      </c>
      <c r="N100" s="673"/>
      <c r="O100" s="42"/>
      <c r="P100" s="42"/>
      <c r="Q100" s="340"/>
    </row>
    <row r="101" customFormat="false" ht="12.75" hidden="false" customHeight="false" outlineLevel="0" collapsed="false">
      <c r="B101" s="673" t="s">
        <v>273</v>
      </c>
      <c r="C101" s="44" t="s">
        <v>259</v>
      </c>
      <c r="D101" s="44" t="s">
        <v>345</v>
      </c>
      <c r="E101" s="340" t="s">
        <v>2563</v>
      </c>
      <c r="G101" s="673" t="s">
        <v>2297</v>
      </c>
      <c r="H101" s="657" t="s">
        <v>2601</v>
      </c>
      <c r="I101" s="343" t="n">
        <v>6</v>
      </c>
      <c r="J101" s="343" t="s">
        <v>549</v>
      </c>
      <c r="K101" s="340" t="n">
        <v>5500</v>
      </c>
      <c r="L101" s="340" t="n">
        <v>2100</v>
      </c>
      <c r="N101" s="673"/>
      <c r="O101" s="42"/>
      <c r="P101" s="42"/>
      <c r="Q101" s="340"/>
    </row>
    <row r="102" customFormat="false" ht="12.75" hidden="false" customHeight="false" outlineLevel="0" collapsed="false">
      <c r="B102" s="673" t="s">
        <v>2443</v>
      </c>
      <c r="C102" s="44" t="s">
        <v>262</v>
      </c>
      <c r="D102" s="44" t="s">
        <v>345</v>
      </c>
      <c r="E102" s="340" t="s">
        <v>2602</v>
      </c>
      <c r="G102" s="673" t="s">
        <v>2304</v>
      </c>
      <c r="H102" s="652" t="s">
        <v>2493</v>
      </c>
      <c r="I102" s="343" t="n">
        <v>8</v>
      </c>
      <c r="J102" s="343" t="s">
        <v>2619</v>
      </c>
      <c r="K102" s="340" t="n">
        <v>14400</v>
      </c>
      <c r="L102" s="340" t="n">
        <v>5500</v>
      </c>
      <c r="N102" s="673"/>
      <c r="O102" s="42"/>
      <c r="P102" s="42"/>
      <c r="Q102" s="340"/>
    </row>
    <row r="103" customFormat="false" ht="12.75" hidden="false" customHeight="false" outlineLevel="0" collapsed="false">
      <c r="B103" s="673" t="s">
        <v>2407</v>
      </c>
      <c r="C103" s="44" t="s">
        <v>259</v>
      </c>
      <c r="D103" s="44" t="s">
        <v>345</v>
      </c>
      <c r="E103" s="340" t="s">
        <v>2578</v>
      </c>
      <c r="G103" s="673" t="s">
        <v>2620</v>
      </c>
      <c r="H103" s="657" t="s">
        <v>2390</v>
      </c>
      <c r="I103" s="343" t="n">
        <v>3</v>
      </c>
      <c r="J103" s="343" t="n">
        <v>1</v>
      </c>
      <c r="K103" s="340" t="n">
        <v>800</v>
      </c>
      <c r="L103" s="340" t="n">
        <v>800</v>
      </c>
      <c r="N103" s="673"/>
      <c r="O103" s="42"/>
      <c r="P103" s="42"/>
      <c r="Q103" s="340"/>
    </row>
    <row r="104" customFormat="false" ht="12.75" hidden="false" customHeight="false" outlineLevel="0" collapsed="false">
      <c r="B104" s="673" t="s">
        <v>2446</v>
      </c>
      <c r="C104" s="44" t="s">
        <v>969</v>
      </c>
      <c r="D104" s="44" t="s">
        <v>345</v>
      </c>
      <c r="E104" s="340" t="s">
        <v>2602</v>
      </c>
      <c r="G104" s="673" t="s">
        <v>2309</v>
      </c>
      <c r="H104" s="652" t="s">
        <v>2271</v>
      </c>
      <c r="I104" s="343" t="n">
        <v>7</v>
      </c>
      <c r="J104" s="343" t="n">
        <v>1</v>
      </c>
      <c r="K104" s="340" t="n">
        <v>5500</v>
      </c>
      <c r="L104" s="340" t="n">
        <v>2100</v>
      </c>
      <c r="N104" s="673"/>
      <c r="O104" s="42"/>
      <c r="P104" s="42"/>
      <c r="Q104" s="340"/>
    </row>
    <row r="105" customFormat="false" ht="12.75" hidden="false" customHeight="false" outlineLevel="0" collapsed="false">
      <c r="B105" s="673" t="s">
        <v>2438</v>
      </c>
      <c r="C105" s="44" t="s">
        <v>253</v>
      </c>
      <c r="D105" s="44" t="s">
        <v>345</v>
      </c>
      <c r="E105" s="340" t="s">
        <v>2563</v>
      </c>
      <c r="G105" s="673" t="s">
        <v>2310</v>
      </c>
      <c r="H105" s="652" t="s">
        <v>419</v>
      </c>
      <c r="I105" s="343" t="n">
        <v>5</v>
      </c>
      <c r="J105" s="343" t="n">
        <v>2</v>
      </c>
      <c r="K105" s="340" t="n">
        <v>2100</v>
      </c>
      <c r="L105" s="340" t="n">
        <v>800</v>
      </c>
      <c r="N105" s="673"/>
      <c r="O105" s="42"/>
      <c r="P105" s="42"/>
      <c r="Q105" s="340"/>
    </row>
    <row r="106" customFormat="false" ht="12.75" hidden="false" customHeight="false" outlineLevel="0" collapsed="false">
      <c r="B106" s="673" t="s">
        <v>276</v>
      </c>
      <c r="C106" s="44" t="s">
        <v>259</v>
      </c>
      <c r="D106" s="44" t="s">
        <v>345</v>
      </c>
      <c r="E106" s="340" t="s">
        <v>2560</v>
      </c>
      <c r="G106" s="673" t="s">
        <v>2321</v>
      </c>
      <c r="H106" s="652" t="s">
        <v>417</v>
      </c>
      <c r="I106" s="343" t="n">
        <v>5</v>
      </c>
      <c r="J106" s="343" t="n">
        <v>1</v>
      </c>
      <c r="K106" s="340" t="n">
        <v>2100</v>
      </c>
      <c r="L106" s="340" t="n">
        <v>800</v>
      </c>
      <c r="N106" s="673"/>
      <c r="O106" s="42"/>
      <c r="P106" s="42"/>
      <c r="Q106" s="340"/>
    </row>
    <row r="107" customFormat="false" ht="12.75" hidden="false" customHeight="false" outlineLevel="0" collapsed="false">
      <c r="B107" s="673" t="s">
        <v>2621</v>
      </c>
      <c r="C107" s="44" t="s">
        <v>259</v>
      </c>
      <c r="D107" s="44" t="s">
        <v>345</v>
      </c>
      <c r="E107" s="340" t="s">
        <v>2560</v>
      </c>
      <c r="G107" s="673" t="s">
        <v>2622</v>
      </c>
      <c r="H107" s="652" t="s">
        <v>393</v>
      </c>
      <c r="I107" s="343" t="n">
        <v>6</v>
      </c>
      <c r="J107" s="343" t="n">
        <v>2</v>
      </c>
      <c r="K107" s="340" t="n">
        <v>5500</v>
      </c>
      <c r="L107" s="340" t="n">
        <v>2100</v>
      </c>
      <c r="N107" s="673"/>
      <c r="O107" s="42"/>
      <c r="P107" s="42"/>
      <c r="Q107" s="340"/>
    </row>
    <row r="108" customFormat="false" ht="12.75" hidden="false" customHeight="false" outlineLevel="0" collapsed="false">
      <c r="B108" s="673" t="s">
        <v>2435</v>
      </c>
      <c r="C108" s="44"/>
      <c r="D108" s="44" t="s">
        <v>345</v>
      </c>
      <c r="E108" s="340" t="s">
        <v>2574</v>
      </c>
      <c r="G108" s="673" t="s">
        <v>2284</v>
      </c>
      <c r="H108" s="657" t="s">
        <v>205</v>
      </c>
      <c r="I108" s="343" t="n">
        <v>5</v>
      </c>
      <c r="J108" s="343" t="n">
        <v>1</v>
      </c>
      <c r="K108" s="340" t="n">
        <v>2100</v>
      </c>
      <c r="L108" s="340" t="n">
        <v>800</v>
      </c>
      <c r="N108" s="673"/>
      <c r="O108" s="42"/>
      <c r="P108" s="42"/>
      <c r="Q108" s="340"/>
    </row>
    <row r="109" customFormat="false" ht="12.75" hidden="false" customHeight="false" outlineLevel="0" collapsed="false">
      <c r="B109" s="673" t="s">
        <v>2428</v>
      </c>
      <c r="C109" s="44" t="s">
        <v>301</v>
      </c>
      <c r="D109" s="44" t="s">
        <v>345</v>
      </c>
      <c r="E109" s="340" t="s">
        <v>2574</v>
      </c>
      <c r="G109" s="673" t="s">
        <v>2329</v>
      </c>
      <c r="H109" s="657" t="s">
        <v>276</v>
      </c>
      <c r="I109" s="343" t="n">
        <v>5</v>
      </c>
      <c r="J109" s="343" t="n">
        <v>3</v>
      </c>
      <c r="K109" s="340" t="n">
        <v>2100</v>
      </c>
      <c r="L109" s="340" t="n">
        <v>800</v>
      </c>
      <c r="N109" s="673"/>
      <c r="O109" s="42"/>
      <c r="P109" s="42"/>
      <c r="Q109" s="340"/>
    </row>
    <row r="110" customFormat="false" ht="12.75" hidden="false" customHeight="false" outlineLevel="0" collapsed="false">
      <c r="B110" s="673" t="s">
        <v>2471</v>
      </c>
      <c r="C110" s="44" t="s">
        <v>253</v>
      </c>
      <c r="D110" s="44" t="s">
        <v>345</v>
      </c>
      <c r="E110" s="340" t="s">
        <v>2623</v>
      </c>
      <c r="G110" s="673" t="s">
        <v>2317</v>
      </c>
      <c r="H110" s="657" t="s">
        <v>2624</v>
      </c>
      <c r="I110" s="343" t="n">
        <v>10</v>
      </c>
      <c r="J110" s="343" t="n">
        <v>6</v>
      </c>
      <c r="K110" s="340" t="n">
        <v>23300</v>
      </c>
      <c r="L110" s="340" t="n">
        <v>8900</v>
      </c>
      <c r="N110" s="673"/>
      <c r="O110" s="42"/>
      <c r="P110" s="42"/>
      <c r="Q110" s="340"/>
    </row>
    <row r="111" customFormat="false" ht="12.75" hidden="false" customHeight="false" outlineLevel="0" collapsed="false">
      <c r="B111" s="673" t="s">
        <v>2524</v>
      </c>
      <c r="C111" s="44" t="s">
        <v>255</v>
      </c>
      <c r="D111" s="44" t="s">
        <v>345</v>
      </c>
      <c r="E111" s="340" t="s">
        <v>2568</v>
      </c>
      <c r="G111" s="673" t="s">
        <v>2625</v>
      </c>
      <c r="H111" s="652" t="s">
        <v>2624</v>
      </c>
      <c r="I111" s="343" t="n">
        <v>7</v>
      </c>
      <c r="J111" s="343" t="n">
        <v>1</v>
      </c>
      <c r="K111" s="340" t="n">
        <v>5500</v>
      </c>
      <c r="L111" s="340" t="n">
        <v>5500</v>
      </c>
      <c r="N111" s="673"/>
      <c r="O111" s="42"/>
      <c r="P111" s="42"/>
      <c r="Q111" s="340"/>
    </row>
    <row r="112" customFormat="false" ht="12.75" hidden="false" customHeight="false" outlineLevel="0" collapsed="false">
      <c r="B112" s="673" t="s">
        <v>282</v>
      </c>
      <c r="C112" s="44" t="s">
        <v>259</v>
      </c>
      <c r="D112" s="44" t="s">
        <v>345</v>
      </c>
      <c r="E112" s="340" t="s">
        <v>2563</v>
      </c>
      <c r="G112" s="673" t="s">
        <v>2335</v>
      </c>
      <c r="H112" s="657" t="s">
        <v>347</v>
      </c>
      <c r="I112" s="343" t="n">
        <v>7</v>
      </c>
      <c r="J112" s="343" t="n">
        <v>2</v>
      </c>
      <c r="K112" s="340" t="n">
        <v>5500</v>
      </c>
      <c r="L112" s="340" t="n">
        <v>2100</v>
      </c>
      <c r="N112" s="673"/>
      <c r="O112" s="42"/>
      <c r="P112" s="42"/>
      <c r="Q112" s="340"/>
    </row>
    <row r="113" customFormat="false" ht="12.75" hidden="false" customHeight="false" outlineLevel="0" collapsed="false">
      <c r="B113" s="673" t="s">
        <v>2403</v>
      </c>
      <c r="C113" s="44" t="s">
        <v>253</v>
      </c>
      <c r="D113" s="44" t="s">
        <v>345</v>
      </c>
      <c r="E113" s="340" t="s">
        <v>2564</v>
      </c>
      <c r="G113" s="673" t="s">
        <v>2323</v>
      </c>
      <c r="H113" s="657" t="s">
        <v>2417</v>
      </c>
      <c r="I113" s="343" t="n">
        <v>3</v>
      </c>
      <c r="J113" s="343" t="n">
        <v>1</v>
      </c>
      <c r="K113" s="340" t="n">
        <v>2100</v>
      </c>
      <c r="L113" s="340" t="n">
        <v>800</v>
      </c>
      <c r="N113" s="673"/>
      <c r="O113" s="42"/>
      <c r="P113" s="42"/>
      <c r="Q113" s="340"/>
    </row>
    <row r="114" customFormat="false" ht="12.75" hidden="false" customHeight="false" outlineLevel="0" collapsed="false">
      <c r="B114" s="673" t="s">
        <v>2392</v>
      </c>
      <c r="C114" s="44" t="s">
        <v>253</v>
      </c>
      <c r="D114" s="44" t="s">
        <v>345</v>
      </c>
      <c r="E114" s="340" t="s">
        <v>2623</v>
      </c>
      <c r="G114" s="673" t="s">
        <v>2322</v>
      </c>
      <c r="H114" s="652" t="s">
        <v>2469</v>
      </c>
      <c r="I114" s="343" t="n">
        <v>6</v>
      </c>
      <c r="J114" s="343" t="n">
        <v>1</v>
      </c>
      <c r="K114" s="340" t="n">
        <v>8900</v>
      </c>
      <c r="L114" s="340" t="n">
        <v>3400</v>
      </c>
      <c r="N114" s="673"/>
      <c r="O114" s="42"/>
      <c r="P114" s="42"/>
      <c r="Q114" s="340"/>
    </row>
    <row r="115" customFormat="false" ht="12.75" hidden="false" customHeight="false" outlineLevel="0" collapsed="false">
      <c r="B115" s="673" t="s">
        <v>2626</v>
      </c>
      <c r="C115" s="44" t="s">
        <v>255</v>
      </c>
      <c r="D115" s="44" t="s">
        <v>345</v>
      </c>
      <c r="E115" s="340" t="s">
        <v>2560</v>
      </c>
      <c r="G115" s="673" t="s">
        <v>2326</v>
      </c>
      <c r="H115" s="652" t="s">
        <v>2379</v>
      </c>
      <c r="I115" s="343" t="n">
        <v>7</v>
      </c>
      <c r="J115" s="343" t="s">
        <v>2605</v>
      </c>
      <c r="K115" s="340" t="n">
        <v>5500</v>
      </c>
      <c r="L115" s="340" t="n">
        <v>2100</v>
      </c>
      <c r="N115" s="673"/>
      <c r="O115" s="42"/>
      <c r="P115" s="42"/>
      <c r="Q115" s="340"/>
    </row>
    <row r="116" customFormat="false" ht="12.75" hidden="false" customHeight="false" outlineLevel="0" collapsed="false">
      <c r="B116" s="673" t="s">
        <v>2624</v>
      </c>
      <c r="C116" s="44"/>
      <c r="D116" s="44" t="s">
        <v>345</v>
      </c>
      <c r="E116" s="340" t="s">
        <v>2561</v>
      </c>
      <c r="G116" s="673" t="s">
        <v>2627</v>
      </c>
      <c r="H116" s="652" t="s">
        <v>417</v>
      </c>
      <c r="I116" s="343" t="n">
        <v>5</v>
      </c>
      <c r="J116" s="343" t="s">
        <v>2572</v>
      </c>
      <c r="K116" s="340" t="n">
        <v>3400</v>
      </c>
      <c r="L116" s="340" t="n">
        <v>3400</v>
      </c>
      <c r="N116" s="673"/>
      <c r="O116" s="42"/>
      <c r="P116" s="42"/>
      <c r="Q116" s="340"/>
    </row>
    <row r="117" customFormat="false" ht="12.75" hidden="false" customHeight="false" outlineLevel="0" collapsed="false">
      <c r="B117" s="673" t="s">
        <v>2628</v>
      </c>
      <c r="C117" s="44"/>
      <c r="D117" s="44" t="s">
        <v>345</v>
      </c>
      <c r="E117" s="340" t="s">
        <v>2574</v>
      </c>
      <c r="G117" s="673" t="s">
        <v>2318</v>
      </c>
      <c r="H117" s="652" t="s">
        <v>378</v>
      </c>
      <c r="I117" s="343" t="n">
        <v>5</v>
      </c>
      <c r="J117" s="343" t="s">
        <v>549</v>
      </c>
      <c r="K117" s="340" t="n">
        <v>2100</v>
      </c>
      <c r="L117" s="340" t="n">
        <v>800</v>
      </c>
      <c r="N117" s="673"/>
      <c r="O117" s="42"/>
      <c r="P117" s="42"/>
      <c r="Q117" s="340"/>
    </row>
    <row r="118" customFormat="false" ht="12.75" hidden="false" customHeight="false" outlineLevel="0" collapsed="false">
      <c r="B118" s="673" t="s">
        <v>285</v>
      </c>
      <c r="C118" s="44" t="s">
        <v>255</v>
      </c>
      <c r="D118" s="44" t="s">
        <v>972</v>
      </c>
      <c r="E118" s="340" t="s">
        <v>2564</v>
      </c>
      <c r="G118" s="673" t="s">
        <v>2342</v>
      </c>
      <c r="H118" s="657" t="s">
        <v>2592</v>
      </c>
      <c r="I118" s="343" t="n">
        <v>5</v>
      </c>
      <c r="J118" s="343" t="n">
        <v>4</v>
      </c>
      <c r="K118" s="340" t="n">
        <v>2100</v>
      </c>
      <c r="L118" s="340" t="n">
        <v>800</v>
      </c>
      <c r="N118" s="673"/>
      <c r="O118" s="42"/>
      <c r="P118" s="42"/>
      <c r="Q118" s="340"/>
    </row>
    <row r="119" customFormat="false" ht="12.75" hidden="false" customHeight="false" outlineLevel="0" collapsed="false">
      <c r="B119" s="673" t="s">
        <v>2426</v>
      </c>
      <c r="C119" s="44" t="s">
        <v>259</v>
      </c>
      <c r="D119" s="44" t="s">
        <v>345</v>
      </c>
      <c r="E119" s="340" t="s">
        <v>2629</v>
      </c>
      <c r="G119" s="673" t="s">
        <v>2350</v>
      </c>
      <c r="H119" s="636" t="s">
        <v>2630</v>
      </c>
      <c r="I119" s="343" t="n">
        <v>6</v>
      </c>
      <c r="J119" s="343" t="n">
        <v>3</v>
      </c>
      <c r="K119" s="340" t="n">
        <v>3400</v>
      </c>
      <c r="L119" s="340" t="n">
        <v>1300</v>
      </c>
      <c r="N119" s="673"/>
      <c r="O119" s="42"/>
      <c r="P119" s="42"/>
      <c r="Q119" s="340"/>
    </row>
    <row r="120" customFormat="false" ht="12.75" hidden="false" customHeight="false" outlineLevel="0" collapsed="false">
      <c r="B120" s="673" t="s">
        <v>2441</v>
      </c>
      <c r="C120" s="44" t="s">
        <v>262</v>
      </c>
      <c r="D120" s="44" t="s">
        <v>345</v>
      </c>
      <c r="E120" s="340" t="s">
        <v>2563</v>
      </c>
      <c r="G120" s="673" t="s">
        <v>2305</v>
      </c>
      <c r="H120" s="652" t="s">
        <v>269</v>
      </c>
      <c r="I120" s="343" t="n">
        <v>8</v>
      </c>
      <c r="J120" s="343" t="n">
        <v>6</v>
      </c>
      <c r="K120" s="340" t="n">
        <v>8900</v>
      </c>
      <c r="L120" s="340" t="n">
        <v>3400</v>
      </c>
      <c r="N120" s="673"/>
      <c r="O120" s="42"/>
      <c r="P120" s="42"/>
      <c r="Q120" s="340"/>
    </row>
    <row r="121" customFormat="false" ht="12.75" hidden="false" customHeight="false" outlineLevel="0" collapsed="false">
      <c r="B121" s="673" t="s">
        <v>2406</v>
      </c>
      <c r="C121" s="44" t="s">
        <v>969</v>
      </c>
      <c r="D121" s="44" t="s">
        <v>345</v>
      </c>
      <c r="E121" s="340" t="s">
        <v>2564</v>
      </c>
      <c r="G121" s="673" t="s">
        <v>2631</v>
      </c>
      <c r="H121" s="652" t="s">
        <v>1009</v>
      </c>
      <c r="I121" s="343" t="n">
        <v>5</v>
      </c>
      <c r="J121" s="343" t="s">
        <v>2572</v>
      </c>
      <c r="K121" s="340" t="n">
        <v>2100</v>
      </c>
      <c r="L121" s="340" t="n">
        <v>2100</v>
      </c>
      <c r="N121" s="673"/>
      <c r="O121" s="42"/>
      <c r="P121" s="42"/>
      <c r="Q121" s="340"/>
    </row>
    <row r="122" customFormat="false" ht="12.75" hidden="false" customHeight="false" outlineLevel="0" collapsed="false">
      <c r="B122" s="673" t="s">
        <v>288</v>
      </c>
      <c r="C122" s="44" t="s">
        <v>259</v>
      </c>
      <c r="D122" s="44" t="s">
        <v>345</v>
      </c>
      <c r="E122" s="340" t="s">
        <v>2564</v>
      </c>
      <c r="G122" s="673" t="s">
        <v>2319</v>
      </c>
      <c r="H122" s="652" t="s">
        <v>2501</v>
      </c>
      <c r="I122" s="343" t="n">
        <v>7</v>
      </c>
      <c r="J122" s="343" t="n">
        <v>5</v>
      </c>
      <c r="K122" s="340" t="n">
        <v>8900</v>
      </c>
      <c r="L122" s="340" t="n">
        <v>3400</v>
      </c>
      <c r="N122" s="673"/>
      <c r="O122" s="42"/>
      <c r="P122" s="42"/>
      <c r="Q122" s="340"/>
    </row>
    <row r="123" customFormat="false" ht="12.75" hidden="false" customHeight="false" outlineLevel="0" collapsed="false">
      <c r="B123" s="673" t="s">
        <v>2523</v>
      </c>
      <c r="C123" s="44" t="s">
        <v>253</v>
      </c>
      <c r="D123" s="44" t="s">
        <v>972</v>
      </c>
      <c r="E123" s="340" t="s">
        <v>2595</v>
      </c>
      <c r="G123" s="673" t="s">
        <v>2632</v>
      </c>
      <c r="H123" s="652" t="s">
        <v>386</v>
      </c>
      <c r="I123" s="343" t="n">
        <v>3</v>
      </c>
      <c r="J123" s="343" t="n">
        <v>0</v>
      </c>
      <c r="K123" s="340" t="n">
        <v>1300</v>
      </c>
      <c r="L123" s="340" t="n">
        <v>1300</v>
      </c>
      <c r="N123" s="673"/>
      <c r="O123" s="42"/>
      <c r="P123" s="42"/>
      <c r="Q123" s="340"/>
    </row>
    <row r="124" customFormat="false" ht="12.75" hidden="false" customHeight="false" outlineLevel="0" collapsed="false">
      <c r="B124" s="673" t="s">
        <v>2408</v>
      </c>
      <c r="C124" s="44" t="s">
        <v>262</v>
      </c>
      <c r="D124" s="44" t="s">
        <v>972</v>
      </c>
      <c r="E124" s="340" t="s">
        <v>2562</v>
      </c>
      <c r="G124" s="673" t="s">
        <v>2294</v>
      </c>
      <c r="H124" s="652" t="s">
        <v>426</v>
      </c>
      <c r="I124" s="343" t="n">
        <v>6</v>
      </c>
      <c r="J124" s="343" t="n">
        <v>2</v>
      </c>
      <c r="K124" s="340" t="n">
        <v>3400</v>
      </c>
      <c r="L124" s="340" t="n">
        <v>1300</v>
      </c>
      <c r="N124" s="673"/>
      <c r="O124" s="42"/>
      <c r="P124" s="42"/>
      <c r="Q124" s="340"/>
    </row>
    <row r="125" customFormat="false" ht="12.75" hidden="false" customHeight="false" outlineLevel="0" collapsed="false">
      <c r="B125" s="673" t="s">
        <v>294</v>
      </c>
      <c r="C125" s="44" t="s">
        <v>259</v>
      </c>
      <c r="D125" s="44" t="s">
        <v>345</v>
      </c>
      <c r="E125" s="340" t="s">
        <v>2633</v>
      </c>
      <c r="G125" s="673" t="s">
        <v>2332</v>
      </c>
      <c r="H125" s="652" t="s">
        <v>328</v>
      </c>
      <c r="I125" s="343" t="n">
        <v>6</v>
      </c>
      <c r="J125" s="343" t="n">
        <v>2</v>
      </c>
      <c r="K125" s="340" t="n">
        <v>3400</v>
      </c>
      <c r="L125" s="340" t="n">
        <v>1300</v>
      </c>
      <c r="N125" s="673"/>
      <c r="O125" s="42"/>
      <c r="P125" s="42"/>
      <c r="Q125" s="340"/>
    </row>
    <row r="126" customFormat="false" ht="12.75" hidden="false" customHeight="false" outlineLevel="0" collapsed="false">
      <c r="B126" s="673" t="s">
        <v>2487</v>
      </c>
      <c r="C126" s="44" t="s">
        <v>253</v>
      </c>
      <c r="D126" s="44" t="s">
        <v>345</v>
      </c>
      <c r="E126" s="340" t="s">
        <v>2634</v>
      </c>
      <c r="G126" s="673" t="s">
        <v>2340</v>
      </c>
      <c r="H126" s="657" t="s">
        <v>319</v>
      </c>
      <c r="I126" s="343" t="n">
        <v>9</v>
      </c>
      <c r="J126" s="343" t="n">
        <v>1</v>
      </c>
      <c r="K126" s="340" t="n">
        <v>14400</v>
      </c>
      <c r="L126" s="340" t="n">
        <v>5500</v>
      </c>
      <c r="N126" s="673"/>
      <c r="O126" s="42"/>
      <c r="P126" s="42"/>
      <c r="Q126" s="340"/>
    </row>
    <row r="127" customFormat="false" ht="12.75" hidden="false" customHeight="false" outlineLevel="0" collapsed="false">
      <c r="B127" s="673" t="s">
        <v>2635</v>
      </c>
      <c r="C127" s="44" t="s">
        <v>253</v>
      </c>
      <c r="D127" s="44" t="s">
        <v>345</v>
      </c>
      <c r="E127" s="340" t="s">
        <v>2623</v>
      </c>
      <c r="G127" s="673" t="s">
        <v>2337</v>
      </c>
      <c r="H127" s="652" t="s">
        <v>2480</v>
      </c>
      <c r="I127" s="343" t="n">
        <v>7</v>
      </c>
      <c r="J127" s="343" t="n">
        <v>1</v>
      </c>
      <c r="K127" s="340" t="n">
        <v>14400</v>
      </c>
      <c r="L127" s="340" t="n">
        <v>5500</v>
      </c>
      <c r="N127" s="673"/>
      <c r="O127" s="42"/>
      <c r="P127" s="42"/>
      <c r="Q127" s="340"/>
    </row>
    <row r="128" customFormat="false" ht="12.75" hidden="false" customHeight="false" outlineLevel="0" collapsed="false">
      <c r="B128" s="673" t="s">
        <v>2636</v>
      </c>
      <c r="C128" s="42" t="s">
        <v>259</v>
      </c>
      <c r="D128" s="42" t="s">
        <v>345</v>
      </c>
      <c r="E128" s="340" t="s">
        <v>2563</v>
      </c>
      <c r="G128" s="673" t="s">
        <v>2333</v>
      </c>
      <c r="H128" s="652" t="s">
        <v>2584</v>
      </c>
      <c r="I128" s="343" t="n">
        <v>9</v>
      </c>
      <c r="J128" s="343" t="n">
        <v>2</v>
      </c>
      <c r="K128" s="340" t="n">
        <v>14400</v>
      </c>
      <c r="L128" s="340" t="n">
        <v>5500</v>
      </c>
      <c r="N128" s="673"/>
      <c r="O128" s="42"/>
      <c r="P128" s="42"/>
      <c r="Q128" s="340"/>
    </row>
    <row r="129" customFormat="false" ht="12.75" hidden="false" customHeight="false" outlineLevel="0" collapsed="false">
      <c r="B129" s="673" t="s">
        <v>2637</v>
      </c>
      <c r="C129" s="42" t="s">
        <v>253</v>
      </c>
      <c r="D129" s="42" t="s">
        <v>345</v>
      </c>
      <c r="E129" s="340" t="s">
        <v>2623</v>
      </c>
      <c r="G129" s="673" t="s">
        <v>2348</v>
      </c>
      <c r="H129" s="652" t="s">
        <v>424</v>
      </c>
      <c r="I129" s="343" t="n">
        <v>6</v>
      </c>
      <c r="J129" s="343" t="s">
        <v>2638</v>
      </c>
      <c r="K129" s="340" t="n">
        <v>3400</v>
      </c>
      <c r="L129" s="340" t="n">
        <v>1300</v>
      </c>
      <c r="N129" s="673"/>
      <c r="O129" s="42"/>
      <c r="P129" s="42"/>
      <c r="Q129" s="340"/>
    </row>
    <row r="130" customFormat="false" ht="12.75" hidden="false" customHeight="false" outlineLevel="0" collapsed="false">
      <c r="B130" s="673" t="s">
        <v>2473</v>
      </c>
      <c r="C130" s="44" t="s">
        <v>255</v>
      </c>
      <c r="D130" s="44" t="s">
        <v>972</v>
      </c>
      <c r="E130" s="340" t="s">
        <v>2560</v>
      </c>
      <c r="G130" s="673" t="s">
        <v>2313</v>
      </c>
      <c r="H130" s="657" t="s">
        <v>2542</v>
      </c>
      <c r="I130" s="343" t="n">
        <v>6</v>
      </c>
      <c r="J130" s="343" t="n">
        <v>2</v>
      </c>
      <c r="K130" s="340" t="n">
        <v>8900</v>
      </c>
      <c r="L130" s="340" t="n">
        <v>3400</v>
      </c>
      <c r="N130" s="673"/>
      <c r="O130" s="42"/>
      <c r="P130" s="42"/>
      <c r="Q130" s="340"/>
    </row>
    <row r="131" customFormat="false" ht="12.75" hidden="false" customHeight="false" outlineLevel="0" collapsed="false">
      <c r="B131" s="673" t="s">
        <v>2410</v>
      </c>
      <c r="C131" s="44" t="s">
        <v>262</v>
      </c>
      <c r="D131" s="44" t="s">
        <v>972</v>
      </c>
      <c r="E131" s="340" t="s">
        <v>2564</v>
      </c>
      <c r="G131" s="673" t="s">
        <v>2639</v>
      </c>
      <c r="H131" s="652" t="s">
        <v>1009</v>
      </c>
      <c r="I131" s="343" t="n">
        <v>6</v>
      </c>
      <c r="J131" s="343" t="s">
        <v>2572</v>
      </c>
      <c r="K131" s="340" t="n">
        <v>3400</v>
      </c>
      <c r="L131" s="340" t="n">
        <v>1300</v>
      </c>
      <c r="N131" s="673"/>
      <c r="O131" s="42"/>
      <c r="P131" s="42"/>
      <c r="Q131" s="340"/>
    </row>
    <row r="132" customFormat="false" ht="12.75" hidden="false" customHeight="false" outlineLevel="0" collapsed="false">
      <c r="B132" s="673" t="s">
        <v>2409</v>
      </c>
      <c r="C132" s="44" t="s">
        <v>259</v>
      </c>
      <c r="D132" s="44" t="s">
        <v>972</v>
      </c>
      <c r="E132" s="340" t="s">
        <v>2564</v>
      </c>
      <c r="G132" s="673" t="s">
        <v>2338</v>
      </c>
      <c r="H132" s="652" t="s">
        <v>2587</v>
      </c>
      <c r="I132" s="343" t="n">
        <v>10</v>
      </c>
      <c r="J132" s="343" t="n">
        <v>3</v>
      </c>
      <c r="K132" s="340" t="n">
        <v>61000</v>
      </c>
      <c r="L132" s="340" t="n">
        <v>23300</v>
      </c>
      <c r="N132" s="673"/>
      <c r="O132" s="42"/>
      <c r="P132" s="42"/>
      <c r="Q132" s="340"/>
    </row>
    <row r="133" customFormat="false" ht="12.75" hidden="false" customHeight="false" outlineLevel="0" collapsed="false">
      <c r="B133" s="673" t="s">
        <v>2535</v>
      </c>
      <c r="C133" s="44" t="s">
        <v>262</v>
      </c>
      <c r="D133" s="44" t="s">
        <v>972</v>
      </c>
      <c r="E133" s="340" t="s">
        <v>2561</v>
      </c>
      <c r="G133" s="673" t="s">
        <v>2343</v>
      </c>
      <c r="H133" s="652" t="s">
        <v>285</v>
      </c>
      <c r="I133" s="343" t="n">
        <v>5</v>
      </c>
      <c r="J133" s="343" t="n">
        <v>2</v>
      </c>
      <c r="K133" s="340" t="n">
        <v>2100</v>
      </c>
      <c r="L133" s="340" t="n">
        <v>800</v>
      </c>
      <c r="N133" s="673"/>
      <c r="O133" s="42"/>
      <c r="P133" s="42"/>
      <c r="Q133" s="340"/>
    </row>
    <row r="134" customFormat="false" ht="12.75" hidden="false" customHeight="false" outlineLevel="0" collapsed="false">
      <c r="B134" s="673" t="s">
        <v>2390</v>
      </c>
      <c r="C134" s="44" t="s">
        <v>255</v>
      </c>
      <c r="D134" s="44" t="s">
        <v>345</v>
      </c>
      <c r="E134" s="340" t="s">
        <v>2595</v>
      </c>
      <c r="G134" s="673" t="s">
        <v>2366</v>
      </c>
      <c r="H134" s="652" t="s">
        <v>353</v>
      </c>
      <c r="I134" s="343" t="n">
        <v>5</v>
      </c>
      <c r="J134" s="343" t="n">
        <v>4</v>
      </c>
      <c r="K134" s="340" t="n">
        <v>2100</v>
      </c>
      <c r="L134" s="340" t="n">
        <v>800</v>
      </c>
      <c r="N134" s="673"/>
      <c r="O134" s="42"/>
      <c r="P134" s="42"/>
      <c r="Q134" s="340"/>
    </row>
    <row r="135" customFormat="false" ht="12.75" hidden="false" customHeight="false" outlineLevel="0" collapsed="false">
      <c r="B135" s="673" t="s">
        <v>2436</v>
      </c>
      <c r="C135" s="44" t="s">
        <v>255</v>
      </c>
      <c r="D135" s="44" t="s">
        <v>345</v>
      </c>
      <c r="E135" s="340" t="s">
        <v>2562</v>
      </c>
      <c r="G135" s="673" t="s">
        <v>2344</v>
      </c>
      <c r="H135" s="652" t="s">
        <v>2456</v>
      </c>
      <c r="I135" s="343" t="n">
        <v>6</v>
      </c>
      <c r="J135" s="343" t="n">
        <v>1</v>
      </c>
      <c r="K135" s="340" t="n">
        <v>3400</v>
      </c>
      <c r="L135" s="340" t="n">
        <v>1300</v>
      </c>
      <c r="N135" s="673"/>
      <c r="O135" s="42"/>
      <c r="P135" s="42"/>
      <c r="Q135" s="340"/>
    </row>
    <row r="136" customFormat="false" ht="12.75" hidden="false" customHeight="false" outlineLevel="0" collapsed="false">
      <c r="B136" s="673" t="s">
        <v>2532</v>
      </c>
      <c r="C136" s="44" t="s">
        <v>253</v>
      </c>
      <c r="D136" s="44" t="s">
        <v>972</v>
      </c>
      <c r="E136" s="340" t="s">
        <v>2564</v>
      </c>
      <c r="G136" s="673" t="s">
        <v>2352</v>
      </c>
      <c r="H136" s="657" t="s">
        <v>2380</v>
      </c>
      <c r="I136" s="343" t="n">
        <v>8</v>
      </c>
      <c r="J136" s="343" t="n">
        <v>3</v>
      </c>
      <c r="K136" s="340" t="n">
        <v>8900</v>
      </c>
      <c r="L136" s="340" t="n">
        <v>3400</v>
      </c>
      <c r="N136" s="673"/>
      <c r="O136" s="42"/>
      <c r="P136" s="42"/>
      <c r="Q136" s="340"/>
    </row>
    <row r="137" customFormat="false" ht="12.75" hidden="false" customHeight="false" outlineLevel="0" collapsed="false">
      <c r="B137" s="673" t="s">
        <v>300</v>
      </c>
      <c r="C137" s="44" t="s">
        <v>259</v>
      </c>
      <c r="D137" s="44" t="s">
        <v>345</v>
      </c>
      <c r="E137" s="340" t="s">
        <v>2564</v>
      </c>
      <c r="G137" s="673" t="s">
        <v>2314</v>
      </c>
      <c r="H137" s="657" t="s">
        <v>426</v>
      </c>
      <c r="I137" s="343" t="n">
        <v>5</v>
      </c>
      <c r="J137" s="343" t="n">
        <v>2</v>
      </c>
      <c r="K137" s="340" t="n">
        <v>2100</v>
      </c>
      <c r="L137" s="340" t="n">
        <v>800</v>
      </c>
      <c r="N137" s="673"/>
      <c r="O137" s="42"/>
      <c r="P137" s="42"/>
      <c r="Q137" s="340"/>
    </row>
    <row r="138" customFormat="false" ht="12.75" hidden="false" customHeight="false" outlineLevel="0" collapsed="false">
      <c r="B138" s="673" t="s">
        <v>209</v>
      </c>
      <c r="C138" s="44" t="s">
        <v>255</v>
      </c>
      <c r="D138" s="44" t="s">
        <v>345</v>
      </c>
      <c r="E138" s="340" t="s">
        <v>2562</v>
      </c>
      <c r="G138" s="673" t="s">
        <v>2302</v>
      </c>
      <c r="H138" s="652" t="s">
        <v>417</v>
      </c>
      <c r="I138" s="42" t="n">
        <v>6</v>
      </c>
      <c r="J138" s="42" t="n">
        <v>2</v>
      </c>
      <c r="K138" s="340" t="n">
        <v>3400</v>
      </c>
      <c r="L138" s="340" t="n">
        <v>1300</v>
      </c>
      <c r="N138" s="673"/>
      <c r="O138" s="42"/>
      <c r="P138" s="42"/>
      <c r="Q138" s="340"/>
    </row>
    <row r="139" customFormat="false" ht="12.75" hidden="false" customHeight="false" outlineLevel="0" collapsed="false">
      <c r="B139" s="673" t="s">
        <v>304</v>
      </c>
      <c r="C139" s="44" t="s">
        <v>259</v>
      </c>
      <c r="D139" s="44" t="s">
        <v>345</v>
      </c>
      <c r="E139" s="340" t="s">
        <v>2563</v>
      </c>
      <c r="G139" s="673" t="s">
        <v>2339</v>
      </c>
      <c r="H139" s="652" t="s">
        <v>330</v>
      </c>
      <c r="I139" s="343" t="n">
        <v>5</v>
      </c>
      <c r="J139" s="343" t="s">
        <v>2640</v>
      </c>
      <c r="K139" s="340" t="n">
        <v>2100</v>
      </c>
      <c r="L139" s="340" t="n">
        <v>800</v>
      </c>
      <c r="N139" s="673"/>
      <c r="O139" s="42"/>
      <c r="P139" s="42"/>
      <c r="Q139" s="340"/>
    </row>
    <row r="140" customFormat="false" ht="12.75" hidden="false" customHeight="false" outlineLevel="0" collapsed="false">
      <c r="B140" s="673" t="s">
        <v>2433</v>
      </c>
      <c r="C140" s="44" t="s">
        <v>969</v>
      </c>
      <c r="D140" s="44" t="s">
        <v>345</v>
      </c>
      <c r="E140" s="340" t="s">
        <v>2564</v>
      </c>
      <c r="G140" s="673" t="s">
        <v>2315</v>
      </c>
      <c r="H140" s="652" t="s">
        <v>417</v>
      </c>
      <c r="I140" s="42" t="n">
        <v>5</v>
      </c>
      <c r="J140" s="42" t="s">
        <v>2640</v>
      </c>
      <c r="K140" s="340" t="n">
        <v>2100</v>
      </c>
      <c r="L140" s="340" t="n">
        <v>800</v>
      </c>
      <c r="N140" s="673"/>
      <c r="O140" s="42"/>
      <c r="P140" s="42"/>
      <c r="Q140" s="340"/>
    </row>
    <row r="141" customFormat="false" ht="12.75" hidden="false" customHeight="false" outlineLevel="0" collapsed="false">
      <c r="B141" s="673" t="s">
        <v>2434</v>
      </c>
      <c r="C141" s="44" t="s">
        <v>262</v>
      </c>
      <c r="D141" s="44" t="s">
        <v>972</v>
      </c>
      <c r="E141" s="340" t="s">
        <v>2564</v>
      </c>
      <c r="G141" s="673" t="s">
        <v>2341</v>
      </c>
      <c r="H141" s="652" t="s">
        <v>2492</v>
      </c>
      <c r="I141" s="42" t="n">
        <v>7</v>
      </c>
      <c r="J141" s="42" t="s">
        <v>2641</v>
      </c>
      <c r="K141" s="340" t="n">
        <v>8900</v>
      </c>
      <c r="L141" s="340" t="n">
        <v>3400</v>
      </c>
      <c r="N141" s="673"/>
      <c r="O141" s="42"/>
      <c r="P141" s="42"/>
      <c r="Q141" s="340"/>
    </row>
    <row r="142" customFormat="false" ht="12.75" hidden="false" customHeight="false" outlineLevel="0" collapsed="false">
      <c r="B142" s="673" t="s">
        <v>2411</v>
      </c>
      <c r="C142" s="44" t="s">
        <v>262</v>
      </c>
      <c r="D142" s="44" t="s">
        <v>972</v>
      </c>
      <c r="E142" s="340" t="s">
        <v>2560</v>
      </c>
      <c r="G142" s="673" t="s">
        <v>2642</v>
      </c>
      <c r="H142" s="652" t="s">
        <v>2643</v>
      </c>
      <c r="I142" s="42" t="n">
        <v>3</v>
      </c>
      <c r="J142" s="42" t="n">
        <v>2</v>
      </c>
      <c r="K142" s="340" t="n">
        <v>800</v>
      </c>
      <c r="L142" s="340" t="n">
        <v>800</v>
      </c>
      <c r="N142" s="673"/>
      <c r="O142" s="42"/>
      <c r="P142" s="42"/>
      <c r="Q142" s="340"/>
    </row>
    <row r="143" customFormat="false" ht="12.75" hidden="false" customHeight="false" outlineLevel="0" collapsed="false">
      <c r="B143" s="673" t="s">
        <v>306</v>
      </c>
      <c r="C143" s="44" t="s">
        <v>259</v>
      </c>
      <c r="D143" s="44" t="s">
        <v>972</v>
      </c>
      <c r="E143" s="340" t="s">
        <v>2564</v>
      </c>
      <c r="G143" s="673" t="s">
        <v>2360</v>
      </c>
      <c r="H143" s="652" t="s">
        <v>322</v>
      </c>
      <c r="I143" s="42" t="n">
        <v>4</v>
      </c>
      <c r="J143" s="42" t="n">
        <v>1</v>
      </c>
      <c r="K143" s="340" t="n">
        <v>2100</v>
      </c>
      <c r="L143" s="340" t="n">
        <v>800</v>
      </c>
      <c r="N143" s="673"/>
      <c r="O143" s="42"/>
      <c r="P143" s="42"/>
      <c r="Q143" s="340"/>
    </row>
    <row r="144" customFormat="false" ht="12.75" hidden="false" customHeight="false" outlineLevel="0" collapsed="false">
      <c r="B144" s="673" t="s">
        <v>2601</v>
      </c>
      <c r="C144" s="44" t="s">
        <v>262</v>
      </c>
      <c r="D144" s="44" t="s">
        <v>972</v>
      </c>
      <c r="E144" s="340" t="s">
        <v>2602</v>
      </c>
      <c r="G144" s="673" t="s">
        <v>2320</v>
      </c>
      <c r="H144" s="652" t="s">
        <v>367</v>
      </c>
      <c r="I144" s="42" t="n">
        <v>7</v>
      </c>
      <c r="J144" s="42" t="n">
        <v>2</v>
      </c>
      <c r="K144" s="340" t="n">
        <v>8900</v>
      </c>
      <c r="L144" s="340" t="n">
        <v>3400</v>
      </c>
      <c r="N144" s="673"/>
      <c r="O144" s="42"/>
      <c r="P144" s="42"/>
      <c r="Q144" s="340"/>
    </row>
    <row r="145" customFormat="false" ht="12.75" hidden="false" customHeight="false" outlineLevel="0" collapsed="false">
      <c r="B145" s="673" t="s">
        <v>2493</v>
      </c>
      <c r="C145" s="44" t="s">
        <v>262</v>
      </c>
      <c r="D145" s="44" t="s">
        <v>345</v>
      </c>
      <c r="E145" s="340" t="s">
        <v>2561</v>
      </c>
      <c r="G145" s="673" t="s">
        <v>2644</v>
      </c>
      <c r="H145" s="652" t="s">
        <v>2449</v>
      </c>
      <c r="I145" s="42" t="n">
        <v>9</v>
      </c>
      <c r="J145" s="42" t="n">
        <v>3</v>
      </c>
      <c r="K145" s="340" t="n">
        <v>14400</v>
      </c>
      <c r="L145" s="340" t="n">
        <v>14400</v>
      </c>
      <c r="N145" s="673"/>
      <c r="O145" s="42"/>
      <c r="P145" s="42"/>
      <c r="Q145" s="340"/>
    </row>
    <row r="146" customFormat="false" ht="12.75" hidden="false" customHeight="false" outlineLevel="0" collapsed="false">
      <c r="B146" s="673" t="s">
        <v>2483</v>
      </c>
      <c r="C146" s="44" t="s">
        <v>259</v>
      </c>
      <c r="D146" s="44" t="s">
        <v>345</v>
      </c>
      <c r="E146" s="340" t="s">
        <v>2560</v>
      </c>
      <c r="G146" s="673" t="s">
        <v>2361</v>
      </c>
      <c r="H146" s="652" t="s">
        <v>2380</v>
      </c>
      <c r="I146" s="42" t="n">
        <v>7</v>
      </c>
      <c r="J146" s="42" t="n">
        <v>2</v>
      </c>
      <c r="K146" s="340" t="n">
        <v>5500</v>
      </c>
      <c r="L146" s="340" t="n">
        <v>2100</v>
      </c>
      <c r="N146" s="673"/>
      <c r="O146" s="42"/>
      <c r="P146" s="42"/>
      <c r="Q146" s="340"/>
    </row>
    <row r="147" customFormat="false" ht="12.75" hidden="false" customHeight="false" outlineLevel="0" collapsed="false">
      <c r="B147" s="673" t="s">
        <v>310</v>
      </c>
      <c r="C147" s="44" t="s">
        <v>259</v>
      </c>
      <c r="D147" s="44" t="s">
        <v>345</v>
      </c>
      <c r="E147" s="340" t="s">
        <v>2560</v>
      </c>
      <c r="G147" s="673" t="s">
        <v>2365</v>
      </c>
      <c r="H147" s="652" t="s">
        <v>2589</v>
      </c>
      <c r="I147" s="42" t="n">
        <v>7</v>
      </c>
      <c r="J147" s="42" t="n">
        <v>2</v>
      </c>
      <c r="K147" s="340" t="n">
        <v>14400</v>
      </c>
      <c r="L147" s="340" t="n">
        <v>5500</v>
      </c>
      <c r="N147" s="673"/>
      <c r="O147" s="42"/>
      <c r="P147" s="42"/>
      <c r="Q147" s="340"/>
    </row>
    <row r="148" customFormat="false" ht="12.75" hidden="false" customHeight="false" outlineLevel="0" collapsed="false">
      <c r="B148" s="673" t="s">
        <v>2539</v>
      </c>
      <c r="C148" s="44" t="s">
        <v>262</v>
      </c>
      <c r="D148" s="44" t="s">
        <v>972</v>
      </c>
      <c r="E148" s="340" t="s">
        <v>2564</v>
      </c>
      <c r="G148" s="673" t="s">
        <v>2645</v>
      </c>
      <c r="H148" s="652" t="s">
        <v>356</v>
      </c>
      <c r="I148" s="42" t="n">
        <v>1</v>
      </c>
      <c r="J148" s="42" t="n">
        <v>2</v>
      </c>
      <c r="K148" s="340" t="n">
        <v>300</v>
      </c>
      <c r="L148" s="340" t="n">
        <v>300</v>
      </c>
      <c r="N148" s="673"/>
      <c r="O148" s="42"/>
      <c r="P148" s="42"/>
      <c r="Q148" s="340"/>
    </row>
    <row r="149" customFormat="false" ht="12.75" hidden="false" customHeight="false" outlineLevel="0" collapsed="false">
      <c r="B149" s="673" t="s">
        <v>312</v>
      </c>
      <c r="C149" s="44" t="s">
        <v>259</v>
      </c>
      <c r="D149" s="44" t="s">
        <v>345</v>
      </c>
      <c r="E149" s="340" t="s">
        <v>2560</v>
      </c>
      <c r="G149" s="673" t="s">
        <v>2368</v>
      </c>
      <c r="H149" s="652" t="s">
        <v>347</v>
      </c>
      <c r="I149" s="42" t="n">
        <v>5</v>
      </c>
      <c r="J149" s="42" t="n">
        <v>2</v>
      </c>
      <c r="K149" s="340" t="n">
        <v>2100</v>
      </c>
      <c r="L149" s="340" t="n">
        <v>800</v>
      </c>
      <c r="N149" s="673"/>
      <c r="O149" s="42"/>
      <c r="P149" s="42"/>
      <c r="Q149" s="340"/>
    </row>
    <row r="150" customFormat="false" ht="12.75" hidden="false" customHeight="false" outlineLevel="0" collapsed="false">
      <c r="B150" s="673" t="s">
        <v>2570</v>
      </c>
      <c r="C150" s="44" t="s">
        <v>255</v>
      </c>
      <c r="D150" s="44" t="s">
        <v>345</v>
      </c>
      <c r="E150" s="340" t="s">
        <v>2560</v>
      </c>
      <c r="G150" s="673" t="s">
        <v>2324</v>
      </c>
      <c r="H150" s="652" t="s">
        <v>386</v>
      </c>
      <c r="I150" s="42" t="n">
        <v>7</v>
      </c>
      <c r="J150" s="42" t="n">
        <v>4</v>
      </c>
      <c r="K150" s="340" t="n">
        <v>8900</v>
      </c>
      <c r="L150" s="340" t="n">
        <v>3400</v>
      </c>
      <c r="N150" s="673"/>
      <c r="O150" s="42"/>
      <c r="P150" s="42"/>
      <c r="Q150" s="340"/>
    </row>
    <row r="151" customFormat="false" ht="12.75" hidden="false" customHeight="false" outlineLevel="0" collapsed="false">
      <c r="B151" s="673" t="s">
        <v>2477</v>
      </c>
      <c r="C151" s="44" t="s">
        <v>255</v>
      </c>
      <c r="D151" s="44" t="s">
        <v>345</v>
      </c>
      <c r="E151" s="340" t="s">
        <v>2560</v>
      </c>
      <c r="G151" s="673" t="s">
        <v>2646</v>
      </c>
      <c r="H151" s="652" t="s">
        <v>329</v>
      </c>
      <c r="I151" s="42" t="n">
        <v>7</v>
      </c>
      <c r="J151" s="42" t="n">
        <v>2</v>
      </c>
      <c r="K151" s="340" t="n">
        <v>2100</v>
      </c>
      <c r="L151" s="340" t="n">
        <v>2100</v>
      </c>
      <c r="N151" s="673"/>
      <c r="O151" s="42"/>
      <c r="P151" s="42"/>
      <c r="Q151" s="340"/>
    </row>
    <row r="152" customFormat="false" ht="12.75" hidden="false" customHeight="false" outlineLevel="0" collapsed="false">
      <c r="B152" s="673" t="s">
        <v>2470</v>
      </c>
      <c r="C152" s="44" t="s">
        <v>262</v>
      </c>
      <c r="D152" s="44" t="s">
        <v>345</v>
      </c>
      <c r="E152" s="340" t="s">
        <v>2623</v>
      </c>
      <c r="G152" s="673" t="s">
        <v>2334</v>
      </c>
      <c r="H152" s="652" t="s">
        <v>323</v>
      </c>
      <c r="I152" s="42" t="n">
        <v>6</v>
      </c>
      <c r="J152" s="42" t="n">
        <v>1</v>
      </c>
      <c r="K152" s="340" t="n">
        <v>3400</v>
      </c>
      <c r="L152" s="340" t="n">
        <v>1300</v>
      </c>
      <c r="N152" s="673"/>
      <c r="O152" s="42"/>
      <c r="P152" s="42"/>
      <c r="Q152" s="340"/>
    </row>
    <row r="153" customFormat="false" ht="12.75" hidden="false" customHeight="false" outlineLevel="0" collapsed="false">
      <c r="B153" s="673" t="s">
        <v>2475</v>
      </c>
      <c r="C153" s="44" t="s">
        <v>262</v>
      </c>
      <c r="D153" s="44" t="s">
        <v>345</v>
      </c>
      <c r="E153" s="340" t="s">
        <v>2623</v>
      </c>
      <c r="G153" s="673" t="s">
        <v>2331</v>
      </c>
      <c r="H153" s="652" t="s">
        <v>395</v>
      </c>
      <c r="I153" s="42" t="n">
        <v>2</v>
      </c>
      <c r="J153" s="42" t="n">
        <v>1</v>
      </c>
      <c r="K153" s="340" t="n">
        <v>500</v>
      </c>
      <c r="L153" s="340" t="n">
        <v>200</v>
      </c>
      <c r="N153" s="691"/>
      <c r="O153" s="692"/>
      <c r="P153" s="692"/>
      <c r="Q153" s="631"/>
    </row>
    <row r="154" customFormat="false" ht="12.75" hidden="false" customHeight="false" outlineLevel="0" collapsed="false">
      <c r="B154" s="673" t="s">
        <v>2544</v>
      </c>
      <c r="C154" s="44" t="s">
        <v>253</v>
      </c>
      <c r="D154" s="44" t="s">
        <v>972</v>
      </c>
      <c r="E154" s="340" t="s">
        <v>2568</v>
      </c>
      <c r="G154" s="673" t="s">
        <v>2347</v>
      </c>
      <c r="H154" s="652" t="s">
        <v>2401</v>
      </c>
      <c r="I154" s="42" t="n">
        <v>5</v>
      </c>
      <c r="J154" s="42" t="n">
        <v>2</v>
      </c>
      <c r="K154" s="340" t="n">
        <v>3400</v>
      </c>
      <c r="L154" s="340" t="n">
        <v>1300</v>
      </c>
    </row>
    <row r="155" customFormat="false" ht="12.75" hidden="false" customHeight="false" outlineLevel="0" collapsed="false">
      <c r="B155" s="673" t="s">
        <v>2529</v>
      </c>
      <c r="C155" s="44" t="s">
        <v>253</v>
      </c>
      <c r="D155" s="44" t="s">
        <v>972</v>
      </c>
      <c r="E155" s="340" t="s">
        <v>2568</v>
      </c>
      <c r="G155" s="673" t="s">
        <v>2349</v>
      </c>
      <c r="H155" s="652" t="s">
        <v>1009</v>
      </c>
      <c r="I155" s="42" t="n">
        <v>5</v>
      </c>
      <c r="J155" s="42" t="n">
        <v>1</v>
      </c>
      <c r="K155" s="340" t="n">
        <v>2100</v>
      </c>
      <c r="L155" s="340" t="n">
        <v>800</v>
      </c>
    </row>
    <row r="156" customFormat="false" ht="12.75" hidden="false" customHeight="false" outlineLevel="0" collapsed="false">
      <c r="B156" s="673" t="s">
        <v>2549</v>
      </c>
      <c r="C156" s="44" t="s">
        <v>2647</v>
      </c>
      <c r="D156" s="44" t="s">
        <v>972</v>
      </c>
      <c r="E156" s="340" t="s">
        <v>2568</v>
      </c>
      <c r="G156" s="673" t="s">
        <v>2648</v>
      </c>
      <c r="H156" s="652" t="s">
        <v>285</v>
      </c>
      <c r="I156" s="42" t="n">
        <v>3</v>
      </c>
      <c r="J156" s="42" t="n">
        <v>1</v>
      </c>
      <c r="K156" s="340" t="n">
        <v>500</v>
      </c>
      <c r="L156" s="340" t="n">
        <v>500</v>
      </c>
    </row>
    <row r="157" customFormat="false" ht="12.75" hidden="false" customHeight="false" outlineLevel="0" collapsed="false">
      <c r="B157" s="673" t="s">
        <v>2448</v>
      </c>
      <c r="C157" s="44" t="s">
        <v>259</v>
      </c>
      <c r="D157" s="44" t="s">
        <v>972</v>
      </c>
      <c r="E157" s="340" t="s">
        <v>2564</v>
      </c>
      <c r="G157" s="673" t="s">
        <v>2356</v>
      </c>
      <c r="H157" s="652" t="s">
        <v>2487</v>
      </c>
      <c r="I157" s="42" t="n">
        <v>7</v>
      </c>
      <c r="J157" s="42" t="n">
        <v>4</v>
      </c>
      <c r="K157" s="340" t="n">
        <v>14400</v>
      </c>
      <c r="L157" s="340" t="n">
        <v>5500</v>
      </c>
    </row>
    <row r="158" customFormat="false" ht="12.75" hidden="false" customHeight="false" outlineLevel="0" collapsed="false">
      <c r="B158" s="673" t="s">
        <v>2383</v>
      </c>
      <c r="C158" s="44" t="s">
        <v>253</v>
      </c>
      <c r="D158" s="44" t="s">
        <v>972</v>
      </c>
      <c r="E158" s="340" t="s">
        <v>2563</v>
      </c>
      <c r="G158" s="673" t="s">
        <v>2649</v>
      </c>
      <c r="H158" s="652" t="s">
        <v>256</v>
      </c>
      <c r="I158" s="42" t="n">
        <v>5</v>
      </c>
      <c r="J158" s="42" t="n">
        <v>2</v>
      </c>
      <c r="K158" s="340" t="n">
        <v>1300</v>
      </c>
      <c r="L158" s="340" t="n">
        <v>1300</v>
      </c>
    </row>
    <row r="159" customFormat="false" ht="12.75" hidden="false" customHeight="false" outlineLevel="0" collapsed="false">
      <c r="B159" s="673" t="s">
        <v>1493</v>
      </c>
      <c r="C159" s="44" t="s">
        <v>301</v>
      </c>
      <c r="D159" s="44" t="s">
        <v>345</v>
      </c>
      <c r="E159" s="340" t="s">
        <v>2574</v>
      </c>
      <c r="G159" s="673" t="s">
        <v>2650</v>
      </c>
      <c r="H159" s="652" t="s">
        <v>273</v>
      </c>
      <c r="I159" s="42" t="n">
        <v>5</v>
      </c>
      <c r="J159" s="42" t="s">
        <v>2572</v>
      </c>
      <c r="K159" s="340" t="n">
        <v>800</v>
      </c>
      <c r="L159" s="340" t="n">
        <v>800</v>
      </c>
    </row>
    <row r="160" customFormat="false" ht="12.75" hidden="false" customHeight="false" outlineLevel="0" collapsed="false">
      <c r="B160" s="673" t="s">
        <v>203</v>
      </c>
      <c r="C160" s="44" t="s">
        <v>259</v>
      </c>
      <c r="D160" s="44" t="s">
        <v>972</v>
      </c>
      <c r="E160" s="340" t="s">
        <v>2564</v>
      </c>
      <c r="G160" s="673" t="s">
        <v>2354</v>
      </c>
      <c r="H160" s="652" t="s">
        <v>1009</v>
      </c>
      <c r="I160" s="42" t="n">
        <v>8</v>
      </c>
      <c r="J160" s="42" t="s">
        <v>2651</v>
      </c>
      <c r="K160" s="340" t="n">
        <v>8900</v>
      </c>
      <c r="L160" s="340" t="n">
        <v>3400</v>
      </c>
    </row>
    <row r="161" customFormat="false" ht="12.75" hidden="false" customHeight="false" outlineLevel="0" collapsed="false">
      <c r="B161" s="673" t="s">
        <v>2437</v>
      </c>
      <c r="C161" s="44" t="s">
        <v>259</v>
      </c>
      <c r="D161" s="44" t="s">
        <v>972</v>
      </c>
      <c r="E161" s="340" t="s">
        <v>2563</v>
      </c>
      <c r="G161" s="673" t="s">
        <v>2376</v>
      </c>
      <c r="H161" s="652" t="s">
        <v>2408</v>
      </c>
      <c r="I161" s="42" t="n">
        <v>7</v>
      </c>
      <c r="J161" s="42" t="n">
        <v>4</v>
      </c>
      <c r="K161" s="340" t="n">
        <v>5500</v>
      </c>
      <c r="L161" s="340" t="n">
        <v>2100</v>
      </c>
    </row>
    <row r="162" customFormat="false" ht="12.75" hidden="false" customHeight="false" outlineLevel="0" collapsed="false">
      <c r="B162" s="673" t="s">
        <v>2447</v>
      </c>
      <c r="C162" s="44" t="s">
        <v>969</v>
      </c>
      <c r="D162" s="44" t="s">
        <v>345</v>
      </c>
      <c r="E162" s="340" t="s">
        <v>2602</v>
      </c>
      <c r="G162" s="673" t="s">
        <v>2652</v>
      </c>
      <c r="H162" s="652" t="s">
        <v>2517</v>
      </c>
      <c r="I162" s="42" t="n">
        <v>9</v>
      </c>
      <c r="J162" s="42" t="n">
        <v>3</v>
      </c>
      <c r="K162" s="340" t="n">
        <v>8900</v>
      </c>
      <c r="L162" s="340" t="n">
        <v>8900</v>
      </c>
    </row>
    <row r="163" customFormat="false" ht="12.75" hidden="false" customHeight="false" outlineLevel="0" collapsed="false">
      <c r="B163" s="673" t="s">
        <v>2417</v>
      </c>
      <c r="C163" s="44" t="s">
        <v>253</v>
      </c>
      <c r="D163" s="44" t="s">
        <v>345</v>
      </c>
      <c r="E163" s="340" t="s">
        <v>2561</v>
      </c>
      <c r="G163" s="673" t="s">
        <v>2653</v>
      </c>
      <c r="H163" s="652" t="s">
        <v>419</v>
      </c>
      <c r="I163" s="42" t="n">
        <v>6</v>
      </c>
      <c r="J163" s="42" t="n">
        <v>3</v>
      </c>
      <c r="K163" s="340" t="n">
        <v>3400</v>
      </c>
      <c r="L163" s="340" t="n">
        <v>1300</v>
      </c>
    </row>
    <row r="164" customFormat="false" ht="12.75" hidden="false" customHeight="false" outlineLevel="0" collapsed="false">
      <c r="B164" s="673" t="s">
        <v>2439</v>
      </c>
      <c r="C164" s="44" t="s">
        <v>262</v>
      </c>
      <c r="D164" s="44" t="s">
        <v>345</v>
      </c>
      <c r="E164" s="340" t="s">
        <v>2602</v>
      </c>
      <c r="G164" s="673" t="s">
        <v>2654</v>
      </c>
      <c r="H164" s="652" t="s">
        <v>278</v>
      </c>
      <c r="I164" s="42" t="n">
        <v>7</v>
      </c>
      <c r="J164" s="42" t="n">
        <v>2</v>
      </c>
      <c r="K164" s="340" t="n">
        <v>2100</v>
      </c>
      <c r="L164" s="340" t="n">
        <v>2100</v>
      </c>
    </row>
    <row r="165" customFormat="false" ht="12.75" hidden="false" customHeight="false" outlineLevel="0" collapsed="false">
      <c r="B165" s="673" t="s">
        <v>2478</v>
      </c>
      <c r="C165" s="44" t="s">
        <v>301</v>
      </c>
      <c r="D165" s="44" t="s">
        <v>345</v>
      </c>
      <c r="E165" s="340" t="s">
        <v>2574</v>
      </c>
      <c r="G165" s="636" t="s">
        <v>2359</v>
      </c>
      <c r="H165" s="652" t="s">
        <v>261</v>
      </c>
      <c r="I165" s="42" t="n">
        <v>7</v>
      </c>
      <c r="J165" s="42" t="n">
        <v>3</v>
      </c>
      <c r="K165" s="340" t="n">
        <v>5500</v>
      </c>
      <c r="L165" s="340" t="n">
        <v>2100</v>
      </c>
    </row>
    <row r="166" customFormat="false" ht="12.75" hidden="false" customHeight="false" outlineLevel="0" collapsed="false">
      <c r="B166" s="673" t="s">
        <v>319</v>
      </c>
      <c r="C166" s="44" t="s">
        <v>259</v>
      </c>
      <c r="D166" s="44" t="s">
        <v>972</v>
      </c>
      <c r="E166" s="340" t="s">
        <v>2560</v>
      </c>
      <c r="G166" s="673" t="s">
        <v>2362</v>
      </c>
      <c r="H166" s="652" t="s">
        <v>424</v>
      </c>
      <c r="I166" s="42" t="n">
        <v>3</v>
      </c>
      <c r="J166" s="42" t="s">
        <v>2591</v>
      </c>
      <c r="K166" s="340" t="n">
        <v>800</v>
      </c>
      <c r="L166" s="340" t="n">
        <v>300</v>
      </c>
    </row>
    <row r="167" customFormat="false" ht="12.75" hidden="false" customHeight="false" outlineLevel="0" collapsed="false">
      <c r="B167" s="673" t="s">
        <v>216</v>
      </c>
      <c r="C167" s="44" t="s">
        <v>255</v>
      </c>
      <c r="D167" s="44" t="s">
        <v>345</v>
      </c>
      <c r="E167" s="340" t="s">
        <v>2564</v>
      </c>
      <c r="G167" s="636" t="s">
        <v>2355</v>
      </c>
      <c r="H167" s="652" t="s">
        <v>303</v>
      </c>
      <c r="I167" s="42" t="n">
        <v>3</v>
      </c>
      <c r="J167" s="42" t="s">
        <v>2655</v>
      </c>
      <c r="K167" s="340" t="n">
        <v>800</v>
      </c>
      <c r="L167" s="340" t="n">
        <v>300</v>
      </c>
    </row>
    <row r="168" customFormat="false" ht="12.75" hidden="false" customHeight="false" outlineLevel="0" collapsed="false">
      <c r="B168" s="673" t="s">
        <v>2414</v>
      </c>
      <c r="C168" s="44" t="s">
        <v>253</v>
      </c>
      <c r="D168" s="44" t="s">
        <v>972</v>
      </c>
      <c r="E168" s="340" t="s">
        <v>2595</v>
      </c>
      <c r="G168" s="673" t="s">
        <v>2336</v>
      </c>
      <c r="H168" s="652" t="s">
        <v>426</v>
      </c>
      <c r="I168" s="42" t="n">
        <v>7</v>
      </c>
      <c r="J168" s="42" t="n">
        <v>2</v>
      </c>
      <c r="K168" s="340" t="n">
        <v>5500</v>
      </c>
      <c r="L168" s="340" t="n">
        <v>2100</v>
      </c>
    </row>
    <row r="169" customFormat="false" ht="12.75" hidden="false" customHeight="false" outlineLevel="0" collapsed="false">
      <c r="B169" s="673" t="s">
        <v>323</v>
      </c>
      <c r="C169" s="44" t="s">
        <v>255</v>
      </c>
      <c r="D169" s="44" t="s">
        <v>345</v>
      </c>
      <c r="E169" s="340" t="s">
        <v>2564</v>
      </c>
      <c r="G169" s="673" t="s">
        <v>2358</v>
      </c>
      <c r="H169" s="652" t="s">
        <v>2271</v>
      </c>
      <c r="I169" s="42" t="n">
        <v>5</v>
      </c>
      <c r="J169" s="42" t="n">
        <v>2</v>
      </c>
      <c r="K169" s="340" t="n">
        <v>2100</v>
      </c>
      <c r="L169" s="340" t="n">
        <v>800</v>
      </c>
    </row>
    <row r="170" customFormat="false" ht="12.75" hidden="false" customHeight="false" outlineLevel="0" collapsed="false">
      <c r="B170" s="673" t="s">
        <v>2486</v>
      </c>
      <c r="C170" s="44" t="s">
        <v>262</v>
      </c>
      <c r="D170" s="44" t="s">
        <v>345</v>
      </c>
      <c r="E170" s="340" t="s">
        <v>2561</v>
      </c>
      <c r="G170" s="673" t="s">
        <v>1091</v>
      </c>
      <c r="H170" s="652" t="s">
        <v>2575</v>
      </c>
      <c r="I170" s="44" t="n">
        <v>6</v>
      </c>
      <c r="J170" s="44" t="s">
        <v>2651</v>
      </c>
      <c r="K170" s="340" t="n">
        <v>3400</v>
      </c>
      <c r="L170" s="340" t="n">
        <v>1300</v>
      </c>
    </row>
    <row r="171" customFormat="false" ht="12.75" hidden="false" customHeight="false" outlineLevel="0" collapsed="false">
      <c r="B171" s="673" t="s">
        <v>205</v>
      </c>
      <c r="C171" s="44" t="s">
        <v>255</v>
      </c>
      <c r="D171" s="44" t="s">
        <v>345</v>
      </c>
      <c r="E171" s="340" t="s">
        <v>2564</v>
      </c>
      <c r="G171" s="673" t="s">
        <v>2207</v>
      </c>
      <c r="H171" s="652" t="s">
        <v>2575</v>
      </c>
      <c r="I171" s="44" t="n">
        <v>11</v>
      </c>
      <c r="J171" s="44" t="n">
        <v>2</v>
      </c>
      <c r="K171" s="340" t="n">
        <v>37700</v>
      </c>
      <c r="L171" s="340" t="n">
        <v>14400</v>
      </c>
    </row>
    <row r="172" customFormat="false" ht="12.75" hidden="false" customHeight="false" outlineLevel="0" collapsed="false">
      <c r="B172" s="673" t="s">
        <v>2508</v>
      </c>
      <c r="C172" s="44" t="s">
        <v>253</v>
      </c>
      <c r="D172" s="44" t="s">
        <v>972</v>
      </c>
      <c r="E172" s="340" t="s">
        <v>2564</v>
      </c>
      <c r="G172" s="673" t="s">
        <v>2369</v>
      </c>
      <c r="H172" s="652" t="s">
        <v>273</v>
      </c>
      <c r="I172" s="42" t="n">
        <v>3</v>
      </c>
      <c r="J172" s="42" t="n">
        <v>0</v>
      </c>
      <c r="K172" s="340" t="n">
        <v>800</v>
      </c>
      <c r="L172" s="340" t="n">
        <v>300</v>
      </c>
    </row>
    <row r="173" customFormat="false" ht="12.75" hidden="false" customHeight="false" outlineLevel="0" collapsed="false">
      <c r="B173" s="673" t="s">
        <v>2495</v>
      </c>
      <c r="C173" s="44" t="s">
        <v>253</v>
      </c>
      <c r="D173" s="44" t="s">
        <v>972</v>
      </c>
      <c r="E173" s="340" t="s">
        <v>2564</v>
      </c>
      <c r="G173" s="673" t="s">
        <v>1093</v>
      </c>
      <c r="H173" s="652" t="s">
        <v>2575</v>
      </c>
      <c r="I173" s="44" t="n">
        <v>5</v>
      </c>
      <c r="J173" s="44" t="n">
        <v>2</v>
      </c>
      <c r="K173" s="340" t="n">
        <v>2100</v>
      </c>
      <c r="L173" s="340" t="n">
        <v>800</v>
      </c>
    </row>
    <row r="174" customFormat="false" ht="12.75" hidden="false" customHeight="false" outlineLevel="0" collapsed="false">
      <c r="B174" s="673" t="s">
        <v>328</v>
      </c>
      <c r="C174" s="44" t="s">
        <v>259</v>
      </c>
      <c r="D174" s="44" t="s">
        <v>345</v>
      </c>
      <c r="E174" s="340" t="s">
        <v>2595</v>
      </c>
      <c r="G174" s="673" t="s">
        <v>2363</v>
      </c>
      <c r="H174" s="652" t="s">
        <v>2505</v>
      </c>
      <c r="I174" s="42" t="n">
        <v>7</v>
      </c>
      <c r="J174" s="42" t="n">
        <v>2</v>
      </c>
      <c r="K174" s="340" t="n">
        <v>14400</v>
      </c>
      <c r="L174" s="340" t="n">
        <v>5500</v>
      </c>
    </row>
    <row r="175" customFormat="false" ht="12.75" hidden="false" customHeight="false" outlineLevel="0" collapsed="false">
      <c r="B175" s="673" t="s">
        <v>2542</v>
      </c>
      <c r="C175" s="44"/>
      <c r="D175" s="44" t="s">
        <v>345</v>
      </c>
      <c r="E175" s="340" t="s">
        <v>2560</v>
      </c>
      <c r="G175" s="673" t="s">
        <v>2345</v>
      </c>
      <c r="H175" s="652" t="s">
        <v>395</v>
      </c>
      <c r="I175" s="42" t="n">
        <v>6</v>
      </c>
      <c r="J175" s="42" t="n">
        <v>1</v>
      </c>
      <c r="K175" s="340" t="n">
        <v>3400</v>
      </c>
      <c r="L175" s="340" t="n">
        <v>1300</v>
      </c>
    </row>
    <row r="176" customFormat="false" ht="12.75" hidden="false" customHeight="false" outlineLevel="0" collapsed="false">
      <c r="B176" s="673" t="s">
        <v>2479</v>
      </c>
      <c r="C176" s="44"/>
      <c r="D176" s="44" t="s">
        <v>345</v>
      </c>
      <c r="E176" s="340" t="s">
        <v>2560</v>
      </c>
      <c r="G176" s="673" t="s">
        <v>2373</v>
      </c>
      <c r="H176" s="652" t="s">
        <v>2462</v>
      </c>
      <c r="I176" s="42" t="n">
        <v>7</v>
      </c>
      <c r="J176" s="42" t="n">
        <v>4</v>
      </c>
      <c r="K176" s="340" t="n">
        <v>8900</v>
      </c>
      <c r="L176" s="340" t="n">
        <v>3400</v>
      </c>
    </row>
    <row r="177" customFormat="false" ht="12.75" hidden="false" customHeight="false" outlineLevel="0" collapsed="false">
      <c r="B177" s="673" t="s">
        <v>2480</v>
      </c>
      <c r="C177" s="44" t="s">
        <v>262</v>
      </c>
      <c r="D177" s="44" t="s">
        <v>972</v>
      </c>
      <c r="E177" s="340" t="s">
        <v>2656</v>
      </c>
      <c r="G177" s="673" t="s">
        <v>2367</v>
      </c>
      <c r="H177" s="652" t="s">
        <v>2455</v>
      </c>
      <c r="I177" s="42" t="n">
        <v>7</v>
      </c>
      <c r="J177" s="42" t="s">
        <v>2605</v>
      </c>
      <c r="K177" s="340" t="n">
        <v>5500</v>
      </c>
      <c r="L177" s="340" t="n">
        <v>2100</v>
      </c>
    </row>
    <row r="178" customFormat="false" ht="12.75" hidden="false" customHeight="false" outlineLevel="0" collapsed="false">
      <c r="B178" s="673" t="s">
        <v>2657</v>
      </c>
      <c r="C178" s="44" t="s">
        <v>253</v>
      </c>
      <c r="D178" s="44" t="s">
        <v>345</v>
      </c>
      <c r="E178" s="340" t="s">
        <v>2658</v>
      </c>
      <c r="G178" s="673" t="s">
        <v>2659</v>
      </c>
      <c r="H178" s="649" t="s">
        <v>1637</v>
      </c>
      <c r="I178" s="42" t="n">
        <v>5</v>
      </c>
      <c r="J178" s="42" t="n">
        <v>2</v>
      </c>
      <c r="K178" s="340" t="n">
        <v>2100</v>
      </c>
      <c r="L178" s="340" t="n">
        <v>800</v>
      </c>
    </row>
    <row r="179" customFormat="false" ht="12.75" hidden="false" customHeight="false" outlineLevel="0" collapsed="false">
      <c r="B179" s="673" t="s">
        <v>2660</v>
      </c>
      <c r="C179" s="44" t="s">
        <v>262</v>
      </c>
      <c r="D179" s="44" t="s">
        <v>972</v>
      </c>
      <c r="E179" s="340" t="s">
        <v>2564</v>
      </c>
      <c r="G179" s="673" t="s">
        <v>2661</v>
      </c>
      <c r="H179" s="652" t="s">
        <v>2604</v>
      </c>
      <c r="I179" s="42" t="n">
        <v>7</v>
      </c>
      <c r="J179" s="42" t="n">
        <v>2</v>
      </c>
      <c r="K179" s="340" t="n">
        <v>2100</v>
      </c>
      <c r="L179" s="340" t="n">
        <v>2100</v>
      </c>
    </row>
    <row r="180" customFormat="false" ht="12.75" hidden="false" customHeight="false" outlineLevel="0" collapsed="false">
      <c r="B180" s="673" t="s">
        <v>330</v>
      </c>
      <c r="C180" s="44" t="s">
        <v>255</v>
      </c>
      <c r="D180" s="44" t="s">
        <v>345</v>
      </c>
      <c r="E180" s="340" t="s">
        <v>2564</v>
      </c>
      <c r="G180" s="673" t="s">
        <v>1095</v>
      </c>
      <c r="H180" s="652" t="s">
        <v>2575</v>
      </c>
      <c r="I180" s="44" t="n">
        <v>5</v>
      </c>
      <c r="J180" s="44" t="s">
        <v>2651</v>
      </c>
      <c r="K180" s="340" t="n">
        <v>2100</v>
      </c>
      <c r="L180" s="340" t="n">
        <v>800</v>
      </c>
    </row>
    <row r="181" customFormat="false" ht="12.75" hidden="false" customHeight="false" outlineLevel="0" collapsed="false">
      <c r="B181" s="673" t="s">
        <v>331</v>
      </c>
      <c r="C181" s="44" t="s">
        <v>255</v>
      </c>
      <c r="D181" s="44" t="s">
        <v>345</v>
      </c>
      <c r="E181" s="340" t="s">
        <v>2561</v>
      </c>
      <c r="G181" s="636" t="s">
        <v>2378</v>
      </c>
      <c r="H181" s="652" t="s">
        <v>209</v>
      </c>
      <c r="I181" s="42" t="n">
        <v>5</v>
      </c>
      <c r="J181" s="42" t="n">
        <v>1</v>
      </c>
      <c r="K181" s="340" t="n">
        <v>800</v>
      </c>
      <c r="L181" s="340" t="n">
        <v>800</v>
      </c>
    </row>
    <row r="182" customFormat="false" ht="12.75" hidden="false" customHeight="false" outlineLevel="0" collapsed="false">
      <c r="B182" s="673" t="s">
        <v>332</v>
      </c>
      <c r="C182" s="44"/>
      <c r="D182" s="44" t="s">
        <v>345</v>
      </c>
      <c r="E182" s="340" t="s">
        <v>2561</v>
      </c>
      <c r="G182" s="673" t="s">
        <v>2375</v>
      </c>
      <c r="H182" s="652" t="s">
        <v>2458</v>
      </c>
      <c r="I182" s="42" t="n">
        <v>9</v>
      </c>
      <c r="J182" s="42" t="s">
        <v>2662</v>
      </c>
      <c r="K182" s="340" t="n">
        <v>14400</v>
      </c>
      <c r="L182" s="340" t="n">
        <v>5500</v>
      </c>
    </row>
    <row r="183" customFormat="false" ht="12.75" hidden="false" customHeight="false" outlineLevel="0" collapsed="false">
      <c r="B183" s="673" t="s">
        <v>2453</v>
      </c>
      <c r="D183" s="44" t="s">
        <v>345</v>
      </c>
      <c r="E183" s="340" t="s">
        <v>2574</v>
      </c>
      <c r="G183" s="673" t="s">
        <v>2663</v>
      </c>
      <c r="H183" s="652" t="s">
        <v>205</v>
      </c>
      <c r="I183" s="42" t="n">
        <v>6</v>
      </c>
      <c r="J183" s="42" t="n">
        <v>2</v>
      </c>
      <c r="K183" s="340" t="n">
        <v>1300</v>
      </c>
      <c r="L183" s="340" t="n">
        <v>1300</v>
      </c>
    </row>
    <row r="184" customFormat="false" ht="12.75" hidden="false" customHeight="false" outlineLevel="0" collapsed="false">
      <c r="B184" s="673" t="s">
        <v>2541</v>
      </c>
      <c r="C184" s="44" t="s">
        <v>262</v>
      </c>
      <c r="D184" s="44" t="s">
        <v>972</v>
      </c>
      <c r="E184" s="340" t="s">
        <v>2564</v>
      </c>
      <c r="G184" s="673" t="s">
        <v>2346</v>
      </c>
      <c r="H184" s="652" t="s">
        <v>331</v>
      </c>
      <c r="I184" s="42" t="n">
        <v>7</v>
      </c>
      <c r="J184" s="42" t="n">
        <v>2</v>
      </c>
      <c r="K184" s="340" t="n">
        <v>8900</v>
      </c>
      <c r="L184" s="340" t="n">
        <v>3400</v>
      </c>
    </row>
    <row r="185" customFormat="false" ht="12.75" hidden="false" customHeight="false" outlineLevel="0" collapsed="false">
      <c r="B185" s="673" t="s">
        <v>2664</v>
      </c>
      <c r="C185" s="44" t="s">
        <v>255</v>
      </c>
      <c r="D185" s="44" t="s">
        <v>972</v>
      </c>
      <c r="E185" s="340" t="s">
        <v>2578</v>
      </c>
      <c r="G185" s="673" t="s">
        <v>2377</v>
      </c>
      <c r="H185" s="652" t="s">
        <v>2665</v>
      </c>
      <c r="I185" s="42" t="n">
        <v>3</v>
      </c>
      <c r="J185" s="42" t="n">
        <v>2</v>
      </c>
      <c r="K185" s="340" t="n">
        <v>800</v>
      </c>
      <c r="L185" s="340" t="n">
        <v>300</v>
      </c>
    </row>
    <row r="186" customFormat="false" ht="12.75" hidden="false" customHeight="false" outlineLevel="0" collapsed="false">
      <c r="B186" s="673" t="s">
        <v>2666</v>
      </c>
      <c r="C186" s="44" t="s">
        <v>255</v>
      </c>
      <c r="D186" s="44" t="s">
        <v>345</v>
      </c>
      <c r="E186" s="340" t="s">
        <v>2578</v>
      </c>
      <c r="G186" s="673" t="s">
        <v>2372</v>
      </c>
      <c r="H186" s="652" t="s">
        <v>2381</v>
      </c>
      <c r="I186" s="42" t="n">
        <v>5</v>
      </c>
      <c r="J186" s="42" t="n">
        <v>1</v>
      </c>
      <c r="K186" s="340" t="n">
        <v>2100</v>
      </c>
      <c r="L186" s="340" t="n">
        <v>800</v>
      </c>
    </row>
    <row r="187" customFormat="false" ht="12.75" hidden="false" customHeight="false" outlineLevel="0" collapsed="false">
      <c r="B187" s="673" t="s">
        <v>2538</v>
      </c>
      <c r="C187" s="44" t="s">
        <v>255</v>
      </c>
      <c r="D187" s="44" t="s">
        <v>972</v>
      </c>
      <c r="E187" s="340" t="s">
        <v>2578</v>
      </c>
      <c r="G187" s="673" t="s">
        <v>2351</v>
      </c>
      <c r="H187" s="652" t="s">
        <v>2423</v>
      </c>
      <c r="I187" s="42" t="n">
        <v>5</v>
      </c>
      <c r="J187" s="42" t="n">
        <v>2</v>
      </c>
      <c r="K187" s="340" t="n">
        <v>2100</v>
      </c>
      <c r="L187" s="340" t="n">
        <v>800</v>
      </c>
    </row>
    <row r="188" customFormat="false" ht="12.75" hidden="false" customHeight="false" outlineLevel="0" collapsed="false">
      <c r="B188" s="673" t="s">
        <v>2497</v>
      </c>
      <c r="C188" s="42" t="s">
        <v>253</v>
      </c>
      <c r="D188" s="42" t="s">
        <v>345</v>
      </c>
      <c r="E188" s="340" t="s">
        <v>2578</v>
      </c>
      <c r="G188" s="673" t="s">
        <v>2357</v>
      </c>
      <c r="H188" s="652" t="s">
        <v>202</v>
      </c>
      <c r="I188" s="42" t="n">
        <v>4</v>
      </c>
      <c r="J188" s="42" t="n">
        <v>1</v>
      </c>
      <c r="K188" s="340" t="n">
        <v>1300</v>
      </c>
      <c r="L188" s="340" t="n">
        <v>500</v>
      </c>
    </row>
    <row r="189" customFormat="false" ht="12.75" hidden="false" customHeight="false" outlineLevel="0" collapsed="false">
      <c r="B189" s="673" t="s">
        <v>2667</v>
      </c>
      <c r="C189" s="44" t="s">
        <v>253</v>
      </c>
      <c r="D189" s="44" t="s">
        <v>345</v>
      </c>
      <c r="E189" s="340" t="s">
        <v>2561</v>
      </c>
      <c r="G189" s="673" t="s">
        <v>2668</v>
      </c>
      <c r="H189" s="652" t="s">
        <v>2447</v>
      </c>
      <c r="I189" s="42" t="n">
        <v>5</v>
      </c>
      <c r="J189" s="42" t="n">
        <v>0</v>
      </c>
      <c r="K189" s="340" t="n">
        <v>2100</v>
      </c>
      <c r="L189" s="340" t="n">
        <v>2100</v>
      </c>
    </row>
    <row r="190" customFormat="false" ht="12.75" hidden="false" customHeight="false" outlineLevel="0" collapsed="false">
      <c r="B190" s="673" t="s">
        <v>2413</v>
      </c>
      <c r="C190" s="44" t="s">
        <v>253</v>
      </c>
      <c r="D190" s="44" t="s">
        <v>345</v>
      </c>
      <c r="E190" s="340" t="s">
        <v>2560</v>
      </c>
      <c r="G190" s="673" t="s">
        <v>2364</v>
      </c>
      <c r="H190" s="652" t="s">
        <v>2441</v>
      </c>
      <c r="I190" s="42" t="n">
        <v>4</v>
      </c>
      <c r="J190" s="42" t="s">
        <v>549</v>
      </c>
      <c r="K190" s="340" t="n">
        <v>2100</v>
      </c>
      <c r="L190" s="340" t="n">
        <v>800</v>
      </c>
    </row>
    <row r="191" customFormat="false" ht="12.75" hidden="false" customHeight="false" outlineLevel="0" collapsed="false">
      <c r="B191" s="673" t="s">
        <v>333</v>
      </c>
      <c r="C191" s="44" t="s">
        <v>253</v>
      </c>
      <c r="D191" s="44" t="s">
        <v>345</v>
      </c>
      <c r="E191" s="340" t="s">
        <v>2633</v>
      </c>
      <c r="G191" s="673" t="s">
        <v>2370</v>
      </c>
      <c r="H191" s="652" t="s">
        <v>2397</v>
      </c>
      <c r="I191" s="42" t="n">
        <v>6</v>
      </c>
      <c r="J191" s="42" t="n">
        <v>4</v>
      </c>
      <c r="K191" s="340" t="n">
        <v>5500</v>
      </c>
      <c r="L191" s="340" t="n">
        <v>2100</v>
      </c>
    </row>
    <row r="192" customFormat="false" ht="12.75" hidden="false" customHeight="false" outlineLevel="0" collapsed="false">
      <c r="B192" s="673" t="s">
        <v>2543</v>
      </c>
      <c r="C192" s="44" t="s">
        <v>262</v>
      </c>
      <c r="D192" s="44" t="s">
        <v>972</v>
      </c>
      <c r="E192" s="340" t="s">
        <v>2564</v>
      </c>
      <c r="G192" s="673"/>
      <c r="H192" s="652"/>
      <c r="I192" s="42"/>
      <c r="J192" s="42"/>
      <c r="K192" s="340"/>
      <c r="L192" s="340"/>
    </row>
    <row r="193" customFormat="false" ht="12.75" hidden="false" customHeight="false" outlineLevel="0" collapsed="false">
      <c r="B193" s="673" t="s">
        <v>2456</v>
      </c>
      <c r="C193" s="44" t="s">
        <v>253</v>
      </c>
      <c r="D193" s="44" t="s">
        <v>972</v>
      </c>
      <c r="E193" s="340" t="s">
        <v>2564</v>
      </c>
      <c r="G193" s="673"/>
      <c r="H193" s="652"/>
      <c r="I193" s="42"/>
      <c r="J193" s="42"/>
      <c r="K193" s="340"/>
      <c r="L193" s="340"/>
    </row>
    <row r="194" customFormat="false" ht="12.75" hidden="false" customHeight="false" outlineLevel="0" collapsed="false">
      <c r="B194" s="673" t="s">
        <v>201</v>
      </c>
      <c r="C194" s="44" t="s">
        <v>255</v>
      </c>
      <c r="D194" s="44" t="s">
        <v>345</v>
      </c>
      <c r="E194" s="340" t="s">
        <v>2562</v>
      </c>
      <c r="G194" s="673"/>
      <c r="H194" s="652"/>
      <c r="I194" s="42"/>
      <c r="J194" s="42"/>
      <c r="K194" s="340"/>
      <c r="L194" s="340"/>
    </row>
    <row r="195" customFormat="false" ht="12.75" hidden="false" customHeight="false" outlineLevel="0" collapsed="false">
      <c r="B195" s="673" t="s">
        <v>347</v>
      </c>
      <c r="C195" s="44" t="s">
        <v>259</v>
      </c>
      <c r="D195" s="44" t="s">
        <v>972</v>
      </c>
      <c r="E195" s="340" t="s">
        <v>2561</v>
      </c>
      <c r="G195" s="673"/>
      <c r="H195" s="652"/>
      <c r="I195" s="42"/>
      <c r="J195" s="42"/>
      <c r="K195" s="340"/>
      <c r="L195" s="340"/>
    </row>
    <row r="196" customFormat="false" ht="12.75" hidden="false" customHeight="false" outlineLevel="0" collapsed="false">
      <c r="B196" s="673" t="s">
        <v>353</v>
      </c>
      <c r="C196" s="44" t="s">
        <v>255</v>
      </c>
      <c r="D196" s="44" t="s">
        <v>345</v>
      </c>
      <c r="E196" s="340" t="s">
        <v>2564</v>
      </c>
      <c r="G196" s="673"/>
      <c r="H196" s="652"/>
      <c r="I196" s="42"/>
      <c r="J196" s="42"/>
      <c r="K196" s="340"/>
      <c r="L196" s="340"/>
    </row>
    <row r="197" customFormat="false" ht="12.75" hidden="false" customHeight="false" outlineLevel="0" collapsed="false">
      <c r="B197" s="673" t="s">
        <v>356</v>
      </c>
      <c r="C197" s="44" t="s">
        <v>262</v>
      </c>
      <c r="D197" s="44" t="s">
        <v>345</v>
      </c>
      <c r="E197" s="340" t="s">
        <v>2563</v>
      </c>
      <c r="G197" s="673"/>
      <c r="H197" s="652"/>
      <c r="I197" s="42"/>
      <c r="J197" s="42"/>
      <c r="K197" s="340"/>
      <c r="L197" s="340"/>
    </row>
    <row r="198" customFormat="false" ht="12.75" hidden="false" customHeight="false" outlineLevel="0" collapsed="false">
      <c r="B198" s="673" t="s">
        <v>646</v>
      </c>
      <c r="C198" s="44" t="s">
        <v>255</v>
      </c>
      <c r="D198" s="44" t="s">
        <v>345</v>
      </c>
      <c r="E198" s="340" t="s">
        <v>2564</v>
      </c>
      <c r="G198" s="673"/>
      <c r="H198" s="652"/>
      <c r="I198" s="42"/>
      <c r="J198" s="42"/>
      <c r="K198" s="340"/>
      <c r="L198" s="340"/>
    </row>
    <row r="199" customFormat="false" ht="12.75" hidden="false" customHeight="false" outlineLevel="0" collapsed="false">
      <c r="B199" s="673" t="s">
        <v>2492</v>
      </c>
      <c r="C199" s="44" t="s">
        <v>259</v>
      </c>
      <c r="D199" s="44" t="s">
        <v>345</v>
      </c>
      <c r="E199" s="340" t="s">
        <v>2623</v>
      </c>
      <c r="G199" s="673"/>
      <c r="H199" s="652"/>
      <c r="I199" s="42"/>
      <c r="J199" s="42"/>
      <c r="K199" s="340"/>
      <c r="L199" s="340"/>
    </row>
    <row r="200" customFormat="false" ht="12.75" hidden="false" customHeight="false" outlineLevel="0" collapsed="false">
      <c r="B200" s="673" t="s">
        <v>2452</v>
      </c>
      <c r="C200" s="44" t="s">
        <v>969</v>
      </c>
      <c r="D200" s="44" t="s">
        <v>345</v>
      </c>
      <c r="E200" s="340" t="s">
        <v>2602</v>
      </c>
      <c r="G200" s="673"/>
      <c r="H200" s="652"/>
      <c r="I200" s="42"/>
      <c r="J200" s="42"/>
      <c r="K200" s="340"/>
      <c r="L200" s="340"/>
    </row>
    <row r="201" customFormat="false" ht="12.75" hidden="false" customHeight="false" outlineLevel="0" collapsed="false">
      <c r="B201" s="673" t="s">
        <v>2505</v>
      </c>
      <c r="C201" s="44" t="s">
        <v>262</v>
      </c>
      <c r="D201" s="44" t="s">
        <v>972</v>
      </c>
      <c r="E201" s="340" t="s">
        <v>2564</v>
      </c>
      <c r="G201" s="673"/>
      <c r="H201" s="652"/>
      <c r="I201" s="42"/>
      <c r="J201" s="42"/>
      <c r="K201" s="340"/>
      <c r="L201" s="340"/>
    </row>
    <row r="202" customFormat="false" ht="12.75" hidden="false" customHeight="false" outlineLevel="0" collapsed="false">
      <c r="B202" s="673" t="s">
        <v>2669</v>
      </c>
      <c r="C202" s="44" t="s">
        <v>253</v>
      </c>
      <c r="D202" s="44" t="s">
        <v>972</v>
      </c>
      <c r="E202" s="340" t="s">
        <v>2564</v>
      </c>
      <c r="G202" s="673"/>
      <c r="H202" s="652"/>
      <c r="I202" s="42"/>
      <c r="J202" s="42"/>
      <c r="K202" s="340"/>
      <c r="L202" s="340"/>
    </row>
    <row r="203" customFormat="false" ht="12.75" hidden="false" customHeight="false" outlineLevel="0" collapsed="false">
      <c r="B203" s="673" t="s">
        <v>2670</v>
      </c>
      <c r="D203" s="42" t="s">
        <v>345</v>
      </c>
      <c r="E203" s="340" t="s">
        <v>2574</v>
      </c>
      <c r="G203" s="673"/>
      <c r="H203" s="652"/>
      <c r="I203" s="42"/>
      <c r="J203" s="42"/>
      <c r="K203" s="340"/>
      <c r="L203" s="340"/>
    </row>
    <row r="204" customFormat="false" ht="12.75" hidden="false" customHeight="false" outlineLevel="0" collapsed="false">
      <c r="B204" s="673" t="s">
        <v>2484</v>
      </c>
      <c r="C204" s="44" t="s">
        <v>255</v>
      </c>
      <c r="D204" s="44" t="s">
        <v>972</v>
      </c>
      <c r="E204" s="340" t="s">
        <v>2578</v>
      </c>
      <c r="G204" s="673"/>
      <c r="H204" s="652"/>
      <c r="I204" s="42"/>
      <c r="J204" s="42"/>
      <c r="K204" s="340"/>
      <c r="L204" s="340"/>
    </row>
    <row r="205" customFormat="false" ht="12.75" hidden="false" customHeight="false" outlineLevel="0" collapsed="false">
      <c r="B205" s="673" t="s">
        <v>2489</v>
      </c>
      <c r="C205" s="44" t="s">
        <v>259</v>
      </c>
      <c r="D205" s="44" t="s">
        <v>972</v>
      </c>
      <c r="E205" s="340" t="s">
        <v>2578</v>
      </c>
      <c r="G205" s="673"/>
      <c r="H205" s="652"/>
      <c r="I205" s="42"/>
      <c r="J205" s="42"/>
      <c r="K205" s="340"/>
      <c r="L205" s="340"/>
    </row>
    <row r="206" customFormat="false" ht="12.75" hidden="false" customHeight="false" outlineLevel="0" collapsed="false">
      <c r="B206" s="673" t="s">
        <v>2671</v>
      </c>
      <c r="C206" s="44" t="s">
        <v>253</v>
      </c>
      <c r="D206" s="44" t="s">
        <v>345</v>
      </c>
      <c r="E206" s="340" t="s">
        <v>2560</v>
      </c>
      <c r="G206" s="673"/>
      <c r="H206" s="652"/>
      <c r="I206" s="42"/>
      <c r="J206" s="42"/>
      <c r="K206" s="340"/>
      <c r="L206" s="340"/>
    </row>
    <row r="207" customFormat="false" ht="12.75" hidden="false" customHeight="false" outlineLevel="0" collapsed="false">
      <c r="B207" s="673" t="s">
        <v>2382</v>
      </c>
      <c r="C207" s="44" t="s">
        <v>253</v>
      </c>
      <c r="D207" s="44" t="s">
        <v>345</v>
      </c>
      <c r="E207" s="340" t="s">
        <v>2578</v>
      </c>
      <c r="G207" s="673"/>
      <c r="H207" s="652"/>
      <c r="I207" s="42"/>
      <c r="J207" s="42"/>
      <c r="K207" s="340"/>
      <c r="L207" s="340"/>
    </row>
    <row r="208" customFormat="false" ht="12.75" hidden="false" customHeight="false" outlineLevel="0" collapsed="false">
      <c r="B208" s="673" t="s">
        <v>2451</v>
      </c>
      <c r="C208" s="44" t="s">
        <v>253</v>
      </c>
      <c r="D208" s="44" t="s">
        <v>345</v>
      </c>
      <c r="E208" s="340" t="s">
        <v>2564</v>
      </c>
      <c r="G208" s="673"/>
      <c r="H208" s="652"/>
      <c r="I208" s="42"/>
      <c r="J208" s="42"/>
      <c r="K208" s="340"/>
      <c r="L208" s="340"/>
    </row>
    <row r="209" customFormat="false" ht="12.75" hidden="false" customHeight="false" outlineLevel="0" collapsed="false">
      <c r="B209" s="673" t="s">
        <v>362</v>
      </c>
      <c r="C209" s="44" t="s">
        <v>253</v>
      </c>
      <c r="D209" s="44" t="s">
        <v>345</v>
      </c>
      <c r="E209" s="340" t="s">
        <v>2595</v>
      </c>
      <c r="G209" s="673"/>
      <c r="H209" s="652"/>
      <c r="I209" s="42"/>
      <c r="J209" s="42"/>
      <c r="K209" s="340"/>
      <c r="L209" s="340"/>
    </row>
    <row r="210" customFormat="false" ht="12.75" hidden="false" customHeight="false" outlineLevel="0" collapsed="false">
      <c r="B210" s="673" t="s">
        <v>364</v>
      </c>
      <c r="C210" s="44" t="s">
        <v>253</v>
      </c>
      <c r="D210" s="44" t="s">
        <v>345</v>
      </c>
      <c r="E210" s="340" t="s">
        <v>2563</v>
      </c>
      <c r="G210" s="691"/>
      <c r="H210" s="693"/>
      <c r="I210" s="692"/>
      <c r="J210" s="692"/>
      <c r="K210" s="631"/>
      <c r="L210" s="631"/>
    </row>
    <row r="211" customFormat="false" ht="12.75" hidden="false" customHeight="false" outlineLevel="0" collapsed="false">
      <c r="B211" s="673" t="s">
        <v>2672</v>
      </c>
      <c r="C211" s="44" t="s">
        <v>262</v>
      </c>
      <c r="D211" s="44" t="s">
        <v>345</v>
      </c>
      <c r="E211" s="340" t="s">
        <v>2568</v>
      </c>
    </row>
    <row r="212" customFormat="false" ht="12.75" hidden="false" customHeight="false" outlineLevel="0" collapsed="false">
      <c r="B212" s="673" t="s">
        <v>2490</v>
      </c>
      <c r="C212" s="42"/>
      <c r="D212" s="44"/>
      <c r="E212" s="340" t="s">
        <v>2574</v>
      </c>
    </row>
    <row r="213" customFormat="false" ht="12.75" hidden="false" customHeight="false" outlineLevel="0" collapsed="false">
      <c r="B213" s="673" t="s">
        <v>367</v>
      </c>
      <c r="C213" s="44" t="s">
        <v>262</v>
      </c>
      <c r="D213" s="44" t="s">
        <v>345</v>
      </c>
      <c r="E213" s="340" t="s">
        <v>2562</v>
      </c>
    </row>
    <row r="214" customFormat="false" ht="12.75" hidden="false" customHeight="false" outlineLevel="0" collapsed="false">
      <c r="B214" s="673" t="s">
        <v>373</v>
      </c>
      <c r="C214" s="44" t="s">
        <v>255</v>
      </c>
      <c r="D214" s="44" t="s">
        <v>345</v>
      </c>
      <c r="E214" s="340" t="s">
        <v>2586</v>
      </c>
    </row>
    <row r="215" customFormat="false" ht="12.75" hidden="false" customHeight="false" outlineLevel="0" collapsed="false">
      <c r="B215" s="673" t="s">
        <v>2482</v>
      </c>
      <c r="C215" s="44"/>
      <c r="D215" s="44" t="s">
        <v>972</v>
      </c>
      <c r="E215" s="340" t="s">
        <v>2629</v>
      </c>
    </row>
    <row r="216" customFormat="false" ht="12.75" hidden="false" customHeight="false" outlineLevel="0" collapsed="false">
      <c r="B216" s="673" t="s">
        <v>2501</v>
      </c>
      <c r="C216" s="44" t="s">
        <v>253</v>
      </c>
      <c r="D216" s="44" t="s">
        <v>972</v>
      </c>
      <c r="E216" s="340" t="s">
        <v>2564</v>
      </c>
    </row>
    <row r="217" customFormat="false" ht="12.75" hidden="false" customHeight="false" outlineLevel="0" collapsed="false">
      <c r="B217" s="673" t="s">
        <v>2499</v>
      </c>
      <c r="C217" s="44" t="s">
        <v>262</v>
      </c>
      <c r="D217" s="44" t="s">
        <v>972</v>
      </c>
      <c r="E217" s="340" t="s">
        <v>2564</v>
      </c>
    </row>
    <row r="218" customFormat="false" ht="12.75" hidden="false" customHeight="false" outlineLevel="0" collapsed="false">
      <c r="B218" s="673" t="s">
        <v>2673</v>
      </c>
      <c r="C218" s="44" t="s">
        <v>253</v>
      </c>
      <c r="D218" s="44" t="s">
        <v>345</v>
      </c>
      <c r="E218" s="340" t="s">
        <v>2560</v>
      </c>
    </row>
    <row r="219" customFormat="false" ht="12.75" hidden="false" customHeight="false" outlineLevel="0" collapsed="false">
      <c r="B219" s="673" t="s">
        <v>2550</v>
      </c>
      <c r="C219" s="44" t="s">
        <v>259</v>
      </c>
      <c r="D219" s="44" t="s">
        <v>345</v>
      </c>
      <c r="E219" s="340" t="s">
        <v>2560</v>
      </c>
    </row>
    <row r="220" customFormat="false" ht="12.75" hidden="false" customHeight="false" outlineLevel="0" collapsed="false">
      <c r="B220" s="673" t="s">
        <v>378</v>
      </c>
      <c r="C220" s="44" t="s">
        <v>253</v>
      </c>
      <c r="D220" s="44" t="s">
        <v>345</v>
      </c>
      <c r="E220" s="340" t="s">
        <v>2560</v>
      </c>
    </row>
    <row r="221" customFormat="false" ht="12.75" hidden="false" customHeight="false" outlineLevel="0" collapsed="false">
      <c r="B221" s="673" t="s">
        <v>381</v>
      </c>
      <c r="C221" s="44" t="s">
        <v>255</v>
      </c>
      <c r="D221" s="44" t="s">
        <v>972</v>
      </c>
      <c r="E221" s="340" t="s">
        <v>2561</v>
      </c>
    </row>
    <row r="222" customFormat="false" ht="12.75" hidden="false" customHeight="false" outlineLevel="0" collapsed="false">
      <c r="B222" s="673" t="s">
        <v>2533</v>
      </c>
      <c r="C222" s="44" t="s">
        <v>262</v>
      </c>
      <c r="D222" s="44" t="s">
        <v>345</v>
      </c>
      <c r="E222" s="340" t="s">
        <v>2561</v>
      </c>
    </row>
    <row r="223" customFormat="false" ht="12.75" hidden="false" customHeight="false" outlineLevel="0" collapsed="false">
      <c r="B223" s="673" t="s">
        <v>383</v>
      </c>
      <c r="C223" s="44" t="s">
        <v>255</v>
      </c>
      <c r="D223" s="44" t="s">
        <v>972</v>
      </c>
      <c r="E223" s="340" t="s">
        <v>2561</v>
      </c>
    </row>
    <row r="224" customFormat="false" ht="12.75" hidden="false" customHeight="false" outlineLevel="0" collapsed="false">
      <c r="B224" s="673" t="s">
        <v>386</v>
      </c>
      <c r="C224" s="44" t="s">
        <v>255</v>
      </c>
      <c r="D224" s="44" t="s">
        <v>345</v>
      </c>
      <c r="E224" s="340" t="s">
        <v>2561</v>
      </c>
    </row>
    <row r="225" customFormat="false" ht="12.75" hidden="false" customHeight="false" outlineLevel="0" collapsed="false">
      <c r="B225" s="673" t="s">
        <v>390</v>
      </c>
      <c r="C225" s="44" t="s">
        <v>259</v>
      </c>
      <c r="D225" s="44" t="s">
        <v>345</v>
      </c>
      <c r="E225" s="340" t="s">
        <v>2563</v>
      </c>
    </row>
    <row r="226" customFormat="false" ht="12.75" hidden="false" customHeight="false" outlineLevel="0" collapsed="false">
      <c r="B226" s="673" t="s">
        <v>2386</v>
      </c>
      <c r="C226" s="42" t="s">
        <v>253</v>
      </c>
      <c r="D226" s="42" t="s">
        <v>345</v>
      </c>
      <c r="E226" s="340" t="s">
        <v>2560</v>
      </c>
    </row>
    <row r="227" customFormat="false" ht="12.75" hidden="false" customHeight="false" outlineLevel="0" collapsed="false">
      <c r="B227" s="673" t="s">
        <v>2488</v>
      </c>
      <c r="C227" s="44" t="s">
        <v>253</v>
      </c>
      <c r="D227" s="44" t="s">
        <v>345</v>
      </c>
      <c r="E227" s="340" t="s">
        <v>2560</v>
      </c>
    </row>
    <row r="228" customFormat="false" ht="12.75" hidden="false" customHeight="false" outlineLevel="0" collapsed="false">
      <c r="B228" s="673" t="s">
        <v>2491</v>
      </c>
      <c r="C228" s="44" t="s">
        <v>253</v>
      </c>
      <c r="D228" s="44" t="s">
        <v>345</v>
      </c>
      <c r="E228" s="340" t="s">
        <v>2561</v>
      </c>
    </row>
    <row r="229" customFormat="false" ht="12.75" hidden="false" customHeight="false" outlineLevel="0" collapsed="false">
      <c r="B229" s="673" t="s">
        <v>2507</v>
      </c>
      <c r="C229" s="42" t="s">
        <v>255</v>
      </c>
      <c r="D229" s="42" t="s">
        <v>345</v>
      </c>
      <c r="E229" s="340" t="s">
        <v>2623</v>
      </c>
    </row>
    <row r="230" customFormat="false" ht="12.75" hidden="false" customHeight="false" outlineLevel="0" collapsed="false">
      <c r="B230" s="673" t="s">
        <v>2548</v>
      </c>
      <c r="C230" s="42"/>
      <c r="D230" s="44" t="s">
        <v>345</v>
      </c>
      <c r="E230" s="340" t="s">
        <v>2574</v>
      </c>
    </row>
    <row r="231" customFormat="false" ht="12.75" hidden="false" customHeight="false" outlineLevel="0" collapsed="false">
      <c r="B231" s="673" t="s">
        <v>2537</v>
      </c>
      <c r="C231" s="44"/>
      <c r="D231" s="44" t="s">
        <v>345</v>
      </c>
      <c r="E231" s="340" t="s">
        <v>2574</v>
      </c>
    </row>
    <row r="232" customFormat="false" ht="12.75" hidden="false" customHeight="false" outlineLevel="0" collapsed="false">
      <c r="B232" s="673" t="s">
        <v>2496</v>
      </c>
      <c r="C232" s="44" t="s">
        <v>301</v>
      </c>
      <c r="D232" s="44" t="s">
        <v>972</v>
      </c>
      <c r="E232" s="340" t="s">
        <v>2561</v>
      </c>
    </row>
    <row r="233" customFormat="false" ht="12.75" hidden="false" customHeight="false" outlineLevel="0" collapsed="false">
      <c r="B233" s="673" t="s">
        <v>393</v>
      </c>
      <c r="C233" s="44" t="s">
        <v>270</v>
      </c>
      <c r="D233" s="44" t="s">
        <v>345</v>
      </c>
      <c r="E233" s="340" t="s">
        <v>2562</v>
      </c>
    </row>
    <row r="234" customFormat="false" ht="12.75" hidden="false" customHeight="false" outlineLevel="0" collapsed="false">
      <c r="B234" s="673" t="s">
        <v>2674</v>
      </c>
      <c r="C234" s="42" t="s">
        <v>259</v>
      </c>
      <c r="D234" s="44" t="s">
        <v>972</v>
      </c>
      <c r="E234" s="340" t="s">
        <v>2564</v>
      </c>
    </row>
    <row r="235" customFormat="false" ht="12.75" hidden="false" customHeight="false" outlineLevel="0" collapsed="false">
      <c r="B235" s="673" t="s">
        <v>2498</v>
      </c>
      <c r="C235" s="42" t="s">
        <v>253</v>
      </c>
      <c r="D235" s="42" t="s">
        <v>345</v>
      </c>
      <c r="E235" s="340" t="s">
        <v>2568</v>
      </c>
    </row>
    <row r="236" customFormat="false" ht="12.75" hidden="false" customHeight="false" outlineLevel="0" collapsed="false">
      <c r="B236" s="673" t="s">
        <v>395</v>
      </c>
      <c r="C236" s="44" t="s">
        <v>255</v>
      </c>
      <c r="D236" s="44" t="s">
        <v>345</v>
      </c>
      <c r="E236" s="340" t="s">
        <v>2595</v>
      </c>
    </row>
    <row r="237" customFormat="false" ht="12.75" hidden="false" customHeight="false" outlineLevel="0" collapsed="false">
      <c r="B237" s="673" t="s">
        <v>204</v>
      </c>
      <c r="C237" s="44" t="s">
        <v>259</v>
      </c>
      <c r="D237" s="44" t="s">
        <v>972</v>
      </c>
      <c r="E237" s="340" t="s">
        <v>2560</v>
      </c>
    </row>
    <row r="238" customFormat="false" ht="12.75" hidden="false" customHeight="false" outlineLevel="0" collapsed="false">
      <c r="B238" s="673" t="s">
        <v>2545</v>
      </c>
      <c r="C238" s="44" t="s">
        <v>262</v>
      </c>
      <c r="D238" s="44" t="s">
        <v>345</v>
      </c>
      <c r="E238" s="340" t="s">
        <v>2564</v>
      </c>
    </row>
    <row r="239" customFormat="false" ht="12.75" hidden="false" customHeight="false" outlineLevel="0" collapsed="false">
      <c r="B239" s="673" t="s">
        <v>2503</v>
      </c>
      <c r="C239" s="44" t="s">
        <v>262</v>
      </c>
      <c r="D239" s="44" t="s">
        <v>972</v>
      </c>
      <c r="E239" s="340" t="s">
        <v>2560</v>
      </c>
    </row>
    <row r="240" customFormat="false" ht="12.75" hidden="false" customHeight="false" outlineLevel="0" collapsed="false">
      <c r="B240" s="673" t="s">
        <v>2675</v>
      </c>
      <c r="C240" s="44" t="s">
        <v>262</v>
      </c>
      <c r="D240" s="44" t="s">
        <v>972</v>
      </c>
      <c r="E240" s="340" t="s">
        <v>2560</v>
      </c>
    </row>
    <row r="241" customFormat="false" ht="12.75" hidden="false" customHeight="false" outlineLevel="0" collapsed="false">
      <c r="B241" s="673" t="s">
        <v>329</v>
      </c>
      <c r="C241" s="44" t="s">
        <v>253</v>
      </c>
      <c r="D241" s="44" t="s">
        <v>345</v>
      </c>
      <c r="E241" s="340" t="s">
        <v>2578</v>
      </c>
    </row>
    <row r="242" customFormat="false" ht="12.75" hidden="false" customHeight="false" outlineLevel="0" collapsed="false">
      <c r="B242" s="673" t="s">
        <v>1009</v>
      </c>
      <c r="C242" s="44" t="s">
        <v>253</v>
      </c>
      <c r="D242" s="44" t="s">
        <v>345</v>
      </c>
      <c r="E242" s="340" t="s">
        <v>2564</v>
      </c>
    </row>
    <row r="243" customFormat="false" ht="12.75" hidden="false" customHeight="false" outlineLevel="0" collapsed="false">
      <c r="B243" s="673" t="s">
        <v>2676</v>
      </c>
      <c r="C243" s="42" t="s">
        <v>253</v>
      </c>
      <c r="D243" s="42" t="s">
        <v>345</v>
      </c>
      <c r="E243" s="340" t="s">
        <v>2578</v>
      </c>
    </row>
    <row r="244" customFormat="false" ht="12.75" hidden="false" customHeight="false" outlineLevel="0" collapsed="false">
      <c r="B244" s="673" t="s">
        <v>2394</v>
      </c>
      <c r="C244" s="42"/>
      <c r="D244" s="44" t="s">
        <v>345</v>
      </c>
      <c r="E244" s="340" t="s">
        <v>2574</v>
      </c>
    </row>
    <row r="245" customFormat="false" ht="12.75" hidden="false" customHeight="false" outlineLevel="0" collapsed="false">
      <c r="B245" s="673" t="s">
        <v>1090</v>
      </c>
      <c r="C245" s="44" t="s">
        <v>301</v>
      </c>
      <c r="D245" s="44" t="s">
        <v>345</v>
      </c>
      <c r="E245" s="340" t="s">
        <v>2574</v>
      </c>
    </row>
    <row r="246" customFormat="false" ht="12.75" hidden="false" customHeight="false" outlineLevel="0" collapsed="false">
      <c r="B246" s="673" t="s">
        <v>2517</v>
      </c>
      <c r="C246" s="44" t="s">
        <v>253</v>
      </c>
      <c r="D246" s="44" t="s">
        <v>345</v>
      </c>
      <c r="E246" s="340" t="s">
        <v>2623</v>
      </c>
    </row>
    <row r="247" customFormat="false" ht="12.75" hidden="false" customHeight="false" outlineLevel="0" collapsed="false">
      <c r="B247" s="673" t="s">
        <v>2677</v>
      </c>
      <c r="C247" s="44" t="s">
        <v>262</v>
      </c>
      <c r="D247" s="44" t="s">
        <v>345</v>
      </c>
      <c r="E247" s="340" t="s">
        <v>2560</v>
      </c>
    </row>
    <row r="248" customFormat="false" ht="12.75" hidden="false" customHeight="false" outlineLevel="0" collapsed="false">
      <c r="B248" s="673" t="s">
        <v>2458</v>
      </c>
      <c r="C248" s="44" t="s">
        <v>253</v>
      </c>
      <c r="D248" s="44" t="s">
        <v>345</v>
      </c>
      <c r="E248" s="340" t="s">
        <v>2560</v>
      </c>
    </row>
    <row r="249" customFormat="false" ht="12.75" hidden="false" customHeight="false" outlineLevel="0" collapsed="false">
      <c r="B249" s="673" t="s">
        <v>2504</v>
      </c>
      <c r="C249" s="44" t="s">
        <v>262</v>
      </c>
      <c r="D249" s="44" t="s">
        <v>345</v>
      </c>
      <c r="E249" s="340" t="s">
        <v>2560</v>
      </c>
    </row>
    <row r="250" customFormat="false" ht="12.75" hidden="false" customHeight="false" outlineLevel="0" collapsed="false">
      <c r="B250" s="673" t="s">
        <v>2455</v>
      </c>
      <c r="C250" s="44" t="s">
        <v>253</v>
      </c>
      <c r="D250" s="44" t="s">
        <v>972</v>
      </c>
      <c r="E250" s="340" t="s">
        <v>2560</v>
      </c>
    </row>
    <row r="251" customFormat="false" ht="12.75" hidden="false" customHeight="false" outlineLevel="0" collapsed="false">
      <c r="B251" s="673" t="s">
        <v>2444</v>
      </c>
      <c r="C251" s="44" t="s">
        <v>253</v>
      </c>
      <c r="D251" s="44" t="s">
        <v>972</v>
      </c>
      <c r="E251" s="340" t="s">
        <v>2595</v>
      </c>
    </row>
    <row r="252" customFormat="false" ht="12.75" hidden="false" customHeight="false" outlineLevel="0" collapsed="false">
      <c r="B252" s="673" t="s">
        <v>398</v>
      </c>
      <c r="C252" s="44"/>
      <c r="D252" s="44" t="s">
        <v>972</v>
      </c>
      <c r="E252" s="340" t="s">
        <v>2561</v>
      </c>
    </row>
    <row r="253" customFormat="false" ht="12.75" hidden="false" customHeight="false" outlineLevel="0" collapsed="false">
      <c r="B253" s="673" t="s">
        <v>2449</v>
      </c>
      <c r="C253" s="44" t="s">
        <v>262</v>
      </c>
      <c r="D253" s="44" t="s">
        <v>345</v>
      </c>
      <c r="E253" s="340" t="s">
        <v>2561</v>
      </c>
    </row>
    <row r="254" customFormat="false" ht="12.75" hidden="false" customHeight="false" outlineLevel="0" collapsed="false">
      <c r="B254" s="673" t="s">
        <v>2445</v>
      </c>
      <c r="C254" s="44" t="s">
        <v>259</v>
      </c>
      <c r="D254" s="44" t="s">
        <v>345</v>
      </c>
      <c r="E254" s="340" t="s">
        <v>2560</v>
      </c>
    </row>
    <row r="255" customFormat="false" ht="12.75" hidden="false" customHeight="false" outlineLevel="0" collapsed="false">
      <c r="B255" s="673" t="s">
        <v>2547</v>
      </c>
      <c r="C255" s="44" t="s">
        <v>969</v>
      </c>
      <c r="D255" s="44" t="s">
        <v>972</v>
      </c>
      <c r="E255" s="340" t="s">
        <v>2564</v>
      </c>
    </row>
    <row r="256" customFormat="false" ht="12.75" hidden="false" customHeight="false" outlineLevel="0" collapsed="false">
      <c r="B256" s="673" t="s">
        <v>2457</v>
      </c>
      <c r="C256" s="44" t="s">
        <v>259</v>
      </c>
      <c r="D256" s="44" t="s">
        <v>345</v>
      </c>
      <c r="E256" s="340" t="s">
        <v>2560</v>
      </c>
    </row>
    <row r="257" customFormat="false" ht="12.75" hidden="false" customHeight="false" outlineLevel="0" collapsed="false">
      <c r="B257" s="673" t="s">
        <v>2678</v>
      </c>
      <c r="C257" s="44" t="s">
        <v>262</v>
      </c>
      <c r="D257" s="44" t="s">
        <v>345</v>
      </c>
      <c r="E257" s="340" t="s">
        <v>2568</v>
      </c>
    </row>
    <row r="258" customFormat="false" ht="12.75" hidden="false" customHeight="false" outlineLevel="0" collapsed="false">
      <c r="B258" s="673" t="s">
        <v>2584</v>
      </c>
      <c r="C258" s="44" t="s">
        <v>253</v>
      </c>
      <c r="D258" s="44" t="s">
        <v>972</v>
      </c>
      <c r="E258" s="340" t="s">
        <v>2564</v>
      </c>
    </row>
    <row r="259" customFormat="false" ht="12.75" hidden="false" customHeight="false" outlineLevel="0" collapsed="false">
      <c r="B259" s="673" t="s">
        <v>2679</v>
      </c>
      <c r="C259" s="44" t="s">
        <v>262</v>
      </c>
      <c r="D259" s="44" t="s">
        <v>972</v>
      </c>
      <c r="E259" s="340" t="s">
        <v>2563</v>
      </c>
    </row>
    <row r="260" customFormat="false" ht="12.75" hidden="false" customHeight="false" outlineLevel="0" collapsed="false">
      <c r="B260" s="673" t="s">
        <v>2680</v>
      </c>
      <c r="C260" s="42" t="s">
        <v>262</v>
      </c>
      <c r="D260" s="42" t="s">
        <v>972</v>
      </c>
      <c r="E260" s="340" t="s">
        <v>2564</v>
      </c>
    </row>
    <row r="261" customFormat="false" ht="12.75" hidden="false" customHeight="false" outlineLevel="0" collapsed="false">
      <c r="B261" s="673" t="s">
        <v>402</v>
      </c>
      <c r="C261" s="44" t="s">
        <v>270</v>
      </c>
      <c r="D261" s="44" t="s">
        <v>345</v>
      </c>
      <c r="E261" s="340" t="s">
        <v>2602</v>
      </c>
    </row>
    <row r="262" customFormat="false" ht="12.75" hidden="false" customHeight="false" outlineLevel="0" collapsed="false">
      <c r="B262" s="673" t="s">
        <v>404</v>
      </c>
      <c r="C262" s="44" t="s">
        <v>270</v>
      </c>
      <c r="D262" s="44" t="s">
        <v>345</v>
      </c>
      <c r="E262" s="340" t="s">
        <v>2562</v>
      </c>
    </row>
    <row r="263" customFormat="false" ht="12.75" hidden="false" customHeight="false" outlineLevel="0" collapsed="false">
      <c r="B263" s="673" t="s">
        <v>407</v>
      </c>
      <c r="C263" s="44" t="s">
        <v>255</v>
      </c>
      <c r="D263" s="44" t="s">
        <v>345</v>
      </c>
      <c r="E263" s="340" t="s">
        <v>2562</v>
      </c>
    </row>
    <row r="264" customFormat="false" ht="12.75" hidden="false" customHeight="false" outlineLevel="0" collapsed="false">
      <c r="B264" s="673" t="s">
        <v>409</v>
      </c>
      <c r="C264" s="42" t="s">
        <v>270</v>
      </c>
      <c r="D264" s="44" t="s">
        <v>345</v>
      </c>
      <c r="E264" s="340" t="s">
        <v>2564</v>
      </c>
    </row>
    <row r="265" customFormat="false" ht="12.75" hidden="false" customHeight="false" outlineLevel="0" collapsed="false">
      <c r="B265" s="673" t="s">
        <v>2516</v>
      </c>
      <c r="C265" s="42" t="s">
        <v>255</v>
      </c>
      <c r="D265" s="42" t="s">
        <v>345</v>
      </c>
      <c r="E265" s="340" t="s">
        <v>2560</v>
      </c>
    </row>
    <row r="266" customFormat="false" ht="12.75" hidden="false" customHeight="false" outlineLevel="0" collapsed="false">
      <c r="B266" s="673" t="s">
        <v>411</v>
      </c>
      <c r="C266" s="44" t="s">
        <v>253</v>
      </c>
      <c r="D266" s="44" t="s">
        <v>345</v>
      </c>
      <c r="E266" s="340" t="s">
        <v>2564</v>
      </c>
    </row>
    <row r="267" customFormat="false" ht="12.75" hidden="false" customHeight="false" outlineLevel="0" collapsed="false">
      <c r="B267" s="673" t="s">
        <v>2579</v>
      </c>
      <c r="C267" s="42" t="s">
        <v>255</v>
      </c>
      <c r="D267" s="42" t="s">
        <v>345</v>
      </c>
      <c r="E267" s="340" t="s">
        <v>2561</v>
      </c>
    </row>
    <row r="268" customFormat="false" ht="12.75" hidden="false" customHeight="false" outlineLevel="0" collapsed="false">
      <c r="B268" s="673" t="s">
        <v>2513</v>
      </c>
      <c r="C268" s="44" t="s">
        <v>259</v>
      </c>
      <c r="D268" s="44" t="s">
        <v>972</v>
      </c>
      <c r="E268" s="340" t="s">
        <v>2564</v>
      </c>
    </row>
    <row r="269" customFormat="false" ht="12.75" hidden="false" customHeight="false" outlineLevel="0" collapsed="false">
      <c r="B269" s="673" t="s">
        <v>414</v>
      </c>
      <c r="C269" s="44" t="s">
        <v>259</v>
      </c>
      <c r="D269" s="44" t="s">
        <v>345</v>
      </c>
      <c r="E269" s="340" t="s">
        <v>2561</v>
      </c>
    </row>
    <row r="270" customFormat="false" ht="12.75" hidden="false" customHeight="false" outlineLevel="0" collapsed="false">
      <c r="B270" s="673" t="s">
        <v>2459</v>
      </c>
      <c r="C270" s="44" t="s">
        <v>262</v>
      </c>
      <c r="D270" s="44" t="s">
        <v>345</v>
      </c>
      <c r="E270" s="340" t="s">
        <v>2563</v>
      </c>
    </row>
    <row r="271" customFormat="false" ht="12.75" hidden="false" customHeight="false" outlineLevel="0" collapsed="false">
      <c r="B271" s="673" t="s">
        <v>2450</v>
      </c>
      <c r="C271" s="44" t="s">
        <v>262</v>
      </c>
      <c r="D271" s="44" t="s">
        <v>345</v>
      </c>
      <c r="E271" s="340" t="s">
        <v>2563</v>
      </c>
    </row>
    <row r="272" customFormat="false" ht="12.75" hidden="false" customHeight="false" outlineLevel="0" collapsed="false">
      <c r="B272" s="673" t="s">
        <v>2520</v>
      </c>
      <c r="C272" s="44" t="s">
        <v>262</v>
      </c>
      <c r="D272" s="44" t="s">
        <v>345</v>
      </c>
      <c r="E272" s="340" t="s">
        <v>2560</v>
      </c>
    </row>
    <row r="273" customFormat="false" ht="12.75" hidden="false" customHeight="false" outlineLevel="0" collapsed="false">
      <c r="B273" s="673" t="s">
        <v>2511</v>
      </c>
      <c r="C273" s="44" t="s">
        <v>253</v>
      </c>
      <c r="D273" s="44" t="s">
        <v>345</v>
      </c>
      <c r="E273" s="340" t="s">
        <v>2560</v>
      </c>
    </row>
    <row r="274" customFormat="false" ht="12.75" hidden="false" customHeight="false" outlineLevel="0" collapsed="false">
      <c r="B274" s="673" t="s">
        <v>2681</v>
      </c>
      <c r="C274" s="44" t="s">
        <v>253</v>
      </c>
      <c r="D274" s="44" t="s">
        <v>345</v>
      </c>
      <c r="E274" s="340" t="s">
        <v>2574</v>
      </c>
    </row>
    <row r="275" customFormat="false" ht="12.75" hidden="false" customHeight="false" outlineLevel="0" collapsed="false">
      <c r="B275" s="636" t="s">
        <v>2682</v>
      </c>
      <c r="C275" s="44" t="s">
        <v>253</v>
      </c>
      <c r="D275" s="44" t="s">
        <v>345</v>
      </c>
      <c r="E275" s="340" t="s">
        <v>2564</v>
      </c>
    </row>
    <row r="276" customFormat="false" ht="12.75" hidden="false" customHeight="false" outlineLevel="0" collapsed="false">
      <c r="B276" s="673" t="s">
        <v>2683</v>
      </c>
      <c r="C276" s="44" t="s">
        <v>253</v>
      </c>
      <c r="D276" s="44" t="s">
        <v>345</v>
      </c>
      <c r="E276" s="340" t="s">
        <v>2564</v>
      </c>
    </row>
    <row r="277" customFormat="false" ht="12.75" hidden="false" customHeight="false" outlineLevel="0" collapsed="false">
      <c r="B277" s="636" t="s">
        <v>2684</v>
      </c>
      <c r="C277" s="44" t="s">
        <v>253</v>
      </c>
      <c r="D277" s="44" t="s">
        <v>345</v>
      </c>
      <c r="E277" s="340" t="s">
        <v>2564</v>
      </c>
    </row>
    <row r="278" customFormat="false" ht="12.75" hidden="false" customHeight="false" outlineLevel="0" collapsed="false">
      <c r="B278" s="673" t="s">
        <v>2685</v>
      </c>
      <c r="C278" s="44" t="s">
        <v>253</v>
      </c>
      <c r="D278" s="44" t="s">
        <v>345</v>
      </c>
      <c r="E278" s="340" t="s">
        <v>2564</v>
      </c>
    </row>
    <row r="279" customFormat="false" ht="12.75" hidden="false" customHeight="false" outlineLevel="0" collapsed="false">
      <c r="B279" s="673" t="s">
        <v>2686</v>
      </c>
      <c r="C279" s="44" t="s">
        <v>253</v>
      </c>
      <c r="D279" s="44" t="s">
        <v>345</v>
      </c>
      <c r="E279" s="340" t="s">
        <v>2564</v>
      </c>
    </row>
    <row r="280" customFormat="false" ht="12.75" hidden="false" customHeight="false" outlineLevel="0" collapsed="false">
      <c r="B280" s="673" t="s">
        <v>2687</v>
      </c>
      <c r="C280" s="44" t="s">
        <v>253</v>
      </c>
      <c r="D280" s="44" t="s">
        <v>345</v>
      </c>
      <c r="E280" s="340" t="s">
        <v>2564</v>
      </c>
    </row>
    <row r="281" customFormat="false" ht="12.75" hidden="false" customHeight="false" outlineLevel="0" collapsed="false">
      <c r="B281" s="673" t="s">
        <v>2688</v>
      </c>
      <c r="C281" s="44" t="s">
        <v>253</v>
      </c>
      <c r="D281" s="44" t="s">
        <v>345</v>
      </c>
      <c r="E281" s="340" t="s">
        <v>2564</v>
      </c>
    </row>
    <row r="282" customFormat="false" ht="12.75" hidden="false" customHeight="false" outlineLevel="0" collapsed="false">
      <c r="B282" s="673" t="s">
        <v>2689</v>
      </c>
      <c r="C282" s="44" t="s">
        <v>253</v>
      </c>
      <c r="D282" s="44" t="s">
        <v>345</v>
      </c>
      <c r="E282" s="340" t="s">
        <v>2564</v>
      </c>
    </row>
    <row r="283" customFormat="false" ht="12.75" hidden="false" customHeight="false" outlineLevel="0" collapsed="false">
      <c r="B283" s="673" t="s">
        <v>2690</v>
      </c>
      <c r="C283" s="44" t="s">
        <v>253</v>
      </c>
      <c r="D283" s="44" t="s">
        <v>345</v>
      </c>
      <c r="E283" s="340" t="s">
        <v>2564</v>
      </c>
    </row>
    <row r="284" customFormat="false" ht="12.75" hidden="false" customHeight="false" outlineLevel="0" collapsed="false">
      <c r="B284" s="673" t="s">
        <v>2691</v>
      </c>
      <c r="C284" s="44" t="s">
        <v>253</v>
      </c>
      <c r="D284" s="44" t="s">
        <v>345</v>
      </c>
      <c r="E284" s="340" t="s">
        <v>2564</v>
      </c>
    </row>
    <row r="285" customFormat="false" ht="12.75" hidden="false" customHeight="false" outlineLevel="0" collapsed="false">
      <c r="B285" s="673" t="s">
        <v>2692</v>
      </c>
      <c r="C285" s="44" t="s">
        <v>253</v>
      </c>
      <c r="D285" s="44" t="s">
        <v>345</v>
      </c>
      <c r="E285" s="340" t="s">
        <v>2564</v>
      </c>
    </row>
    <row r="286" customFormat="false" ht="12.75" hidden="false" customHeight="false" outlineLevel="0" collapsed="false">
      <c r="B286" s="636" t="s">
        <v>1624</v>
      </c>
      <c r="C286" s="44" t="s">
        <v>253</v>
      </c>
      <c r="D286" s="44" t="s">
        <v>345</v>
      </c>
      <c r="E286" s="340" t="s">
        <v>2564</v>
      </c>
    </row>
    <row r="287" customFormat="false" ht="12.75" hidden="false" customHeight="false" outlineLevel="0" collapsed="false">
      <c r="B287" s="673" t="s">
        <v>2693</v>
      </c>
      <c r="C287" s="44" t="s">
        <v>253</v>
      </c>
      <c r="D287" s="44" t="s">
        <v>345</v>
      </c>
      <c r="E287" s="340" t="s">
        <v>2564</v>
      </c>
    </row>
    <row r="288" customFormat="false" ht="12.75" hidden="false" customHeight="false" outlineLevel="0" collapsed="false">
      <c r="B288" s="673" t="s">
        <v>2694</v>
      </c>
      <c r="C288" s="44" t="s">
        <v>253</v>
      </c>
      <c r="D288" s="44" t="s">
        <v>345</v>
      </c>
      <c r="E288" s="340" t="s">
        <v>2564</v>
      </c>
    </row>
    <row r="289" customFormat="false" ht="12.75" hidden="false" customHeight="false" outlineLevel="0" collapsed="false">
      <c r="B289" s="673" t="s">
        <v>2695</v>
      </c>
      <c r="C289" s="44" t="s">
        <v>253</v>
      </c>
      <c r="D289" s="44" t="s">
        <v>345</v>
      </c>
      <c r="E289" s="340" t="s">
        <v>2564</v>
      </c>
    </row>
    <row r="290" customFormat="false" ht="12.75" hidden="false" customHeight="false" outlineLevel="0" collapsed="false">
      <c r="B290" s="636" t="s">
        <v>2583</v>
      </c>
      <c r="C290" s="44" t="s">
        <v>253</v>
      </c>
      <c r="D290" s="44" t="s">
        <v>345</v>
      </c>
      <c r="E290" s="340" t="s">
        <v>2564</v>
      </c>
    </row>
    <row r="291" customFormat="false" ht="12.75" hidden="false" customHeight="false" outlineLevel="0" collapsed="false">
      <c r="B291" s="636" t="s">
        <v>2696</v>
      </c>
      <c r="C291" s="44" t="s">
        <v>253</v>
      </c>
      <c r="D291" s="44" t="s">
        <v>345</v>
      </c>
      <c r="E291" s="340" t="s">
        <v>2564</v>
      </c>
    </row>
    <row r="292" customFormat="false" ht="12.75" hidden="false" customHeight="false" outlineLevel="0" collapsed="false">
      <c r="B292" s="673" t="s">
        <v>2697</v>
      </c>
      <c r="C292" s="44" t="s">
        <v>253</v>
      </c>
      <c r="D292" s="44" t="s">
        <v>345</v>
      </c>
      <c r="E292" s="340" t="s">
        <v>2564</v>
      </c>
    </row>
    <row r="293" customFormat="false" ht="12.75" hidden="false" customHeight="false" outlineLevel="0" collapsed="false">
      <c r="B293" s="636" t="s">
        <v>2630</v>
      </c>
      <c r="C293" s="44" t="s">
        <v>253</v>
      </c>
      <c r="D293" s="44" t="s">
        <v>345</v>
      </c>
      <c r="E293" s="340" t="s">
        <v>2564</v>
      </c>
    </row>
    <row r="294" customFormat="false" ht="12.75" hidden="false" customHeight="false" outlineLevel="0" collapsed="false">
      <c r="B294" s="636" t="s">
        <v>2698</v>
      </c>
      <c r="C294" s="44" t="s">
        <v>253</v>
      </c>
      <c r="D294" s="44" t="s">
        <v>345</v>
      </c>
      <c r="E294" s="340" t="s">
        <v>2564</v>
      </c>
    </row>
    <row r="295" customFormat="false" ht="12.75" hidden="false" customHeight="false" outlineLevel="0" collapsed="false">
      <c r="B295" s="636" t="s">
        <v>2699</v>
      </c>
      <c r="C295" s="44" t="s">
        <v>253</v>
      </c>
      <c r="D295" s="44" t="s">
        <v>345</v>
      </c>
      <c r="E295" s="340" t="s">
        <v>2564</v>
      </c>
    </row>
    <row r="296" customFormat="false" ht="12.75" hidden="false" customHeight="false" outlineLevel="0" collapsed="false">
      <c r="B296" s="636" t="s">
        <v>2700</v>
      </c>
      <c r="C296" s="44" t="s">
        <v>253</v>
      </c>
      <c r="D296" s="44" t="s">
        <v>345</v>
      </c>
      <c r="E296" s="340" t="s">
        <v>2564</v>
      </c>
    </row>
    <row r="297" customFormat="false" ht="12.75" hidden="false" customHeight="false" outlineLevel="0" collapsed="false">
      <c r="B297" s="636" t="s">
        <v>2701</v>
      </c>
      <c r="C297" s="44" t="s">
        <v>253</v>
      </c>
      <c r="D297" s="44" t="s">
        <v>345</v>
      </c>
      <c r="E297" s="340" t="s">
        <v>2564</v>
      </c>
    </row>
    <row r="298" customFormat="false" ht="12.75" hidden="false" customHeight="false" outlineLevel="0" collapsed="false">
      <c r="B298" s="599" t="s">
        <v>2702</v>
      </c>
      <c r="C298" s="44" t="s">
        <v>253</v>
      </c>
      <c r="D298" s="44" t="s">
        <v>345</v>
      </c>
      <c r="E298" s="340" t="s">
        <v>2564</v>
      </c>
    </row>
    <row r="299" customFormat="false" ht="12.75" hidden="false" customHeight="false" outlineLevel="0" collapsed="false">
      <c r="B299" s="636" t="s">
        <v>2703</v>
      </c>
      <c r="C299" s="44" t="s">
        <v>253</v>
      </c>
      <c r="D299" s="44" t="s">
        <v>345</v>
      </c>
      <c r="E299" s="340" t="s">
        <v>2564</v>
      </c>
    </row>
    <row r="300" customFormat="false" ht="12.75" hidden="false" customHeight="false" outlineLevel="0" collapsed="false">
      <c r="B300" s="636" t="s">
        <v>2704</v>
      </c>
      <c r="C300" s="44" t="s">
        <v>253</v>
      </c>
      <c r="D300" s="44" t="s">
        <v>345</v>
      </c>
      <c r="E300" s="340" t="s">
        <v>2564</v>
      </c>
    </row>
    <row r="301" customFormat="false" ht="12.75" hidden="false" customHeight="false" outlineLevel="0" collapsed="false">
      <c r="B301" s="636" t="s">
        <v>2705</v>
      </c>
      <c r="C301" s="44" t="s">
        <v>253</v>
      </c>
      <c r="D301" s="44" t="s">
        <v>345</v>
      </c>
      <c r="E301" s="340" t="s">
        <v>2564</v>
      </c>
    </row>
    <row r="302" customFormat="false" ht="12.75" hidden="false" customHeight="false" outlineLevel="0" collapsed="false">
      <c r="B302" s="636" t="s">
        <v>2706</v>
      </c>
      <c r="C302" s="44" t="s">
        <v>253</v>
      </c>
      <c r="D302" s="44" t="s">
        <v>345</v>
      </c>
      <c r="E302" s="340" t="s">
        <v>2564</v>
      </c>
    </row>
    <row r="303" customFormat="false" ht="12.75" hidden="false" customHeight="false" outlineLevel="0" collapsed="false">
      <c r="B303" s="673" t="s">
        <v>417</v>
      </c>
      <c r="C303" s="44" t="s">
        <v>255</v>
      </c>
      <c r="D303" s="44" t="s">
        <v>345</v>
      </c>
      <c r="E303" s="340" t="s">
        <v>2564</v>
      </c>
    </row>
    <row r="304" customFormat="false" ht="12.75" hidden="false" customHeight="false" outlineLevel="0" collapsed="false">
      <c r="B304" s="673" t="s">
        <v>2707</v>
      </c>
      <c r="C304" s="44" t="s">
        <v>270</v>
      </c>
      <c r="D304" s="44" t="s">
        <v>345</v>
      </c>
      <c r="E304" s="340" t="s">
        <v>2562</v>
      </c>
    </row>
    <row r="305" customFormat="false" ht="12.75" hidden="false" customHeight="false" outlineLevel="0" collapsed="false">
      <c r="B305" s="673" t="s">
        <v>2419</v>
      </c>
      <c r="C305" s="44" t="s">
        <v>301</v>
      </c>
      <c r="D305" s="44" t="s">
        <v>345</v>
      </c>
      <c r="E305" s="340" t="s">
        <v>2562</v>
      </c>
    </row>
    <row r="306" customFormat="false" ht="12.75" hidden="false" customHeight="false" outlineLevel="0" collapsed="false">
      <c r="B306" s="673" t="s">
        <v>2708</v>
      </c>
      <c r="C306" s="44" t="s">
        <v>253</v>
      </c>
      <c r="D306" s="44" t="s">
        <v>345</v>
      </c>
      <c r="E306" s="340" t="s">
        <v>2561</v>
      </c>
    </row>
    <row r="307" customFormat="false" ht="12.75" hidden="false" customHeight="false" outlineLevel="0" collapsed="false">
      <c r="B307" s="673" t="s">
        <v>419</v>
      </c>
      <c r="C307" s="44" t="s">
        <v>253</v>
      </c>
      <c r="D307" s="44" t="s">
        <v>345</v>
      </c>
      <c r="E307" s="340" t="s">
        <v>2560</v>
      </c>
    </row>
    <row r="308" customFormat="false" ht="12.75" hidden="false" customHeight="false" outlineLevel="0" collapsed="false">
      <c r="B308" s="673" t="s">
        <v>2515</v>
      </c>
      <c r="C308" s="44"/>
      <c r="D308" s="44" t="s">
        <v>345</v>
      </c>
      <c r="E308" s="340" t="s">
        <v>2562</v>
      </c>
    </row>
    <row r="309" customFormat="false" ht="12.75" hidden="false" customHeight="false" outlineLevel="0" collapsed="false">
      <c r="B309" s="673" t="s">
        <v>422</v>
      </c>
      <c r="C309" s="44" t="s">
        <v>255</v>
      </c>
      <c r="D309" s="44" t="s">
        <v>345</v>
      </c>
      <c r="E309" s="340" t="s">
        <v>2562</v>
      </c>
    </row>
    <row r="310" customFormat="false" ht="12.75" hidden="false" customHeight="false" outlineLevel="0" collapsed="false">
      <c r="B310" s="673" t="s">
        <v>424</v>
      </c>
      <c r="C310" s="44" t="s">
        <v>255</v>
      </c>
      <c r="D310" s="44" t="s">
        <v>345</v>
      </c>
      <c r="E310" s="340" t="s">
        <v>2561</v>
      </c>
    </row>
    <row r="311" customFormat="false" ht="12.75" hidden="false" customHeight="false" outlineLevel="0" collapsed="false">
      <c r="B311" s="673" t="s">
        <v>2709</v>
      </c>
      <c r="C311" s="44" t="s">
        <v>255</v>
      </c>
      <c r="D311" s="44" t="s">
        <v>972</v>
      </c>
      <c r="E311" s="340" t="s">
        <v>2564</v>
      </c>
    </row>
    <row r="312" customFormat="false" ht="12.75" hidden="false" customHeight="false" outlineLevel="0" collapsed="false">
      <c r="B312" s="673" t="s">
        <v>2454</v>
      </c>
      <c r="C312" s="44"/>
      <c r="D312" s="44" t="s">
        <v>345</v>
      </c>
      <c r="E312" s="340" t="s">
        <v>2574</v>
      </c>
    </row>
    <row r="313" customFormat="false" ht="12.75" hidden="false" customHeight="false" outlineLevel="0" collapsed="false">
      <c r="B313" s="673" t="s">
        <v>2553</v>
      </c>
      <c r="C313" s="44" t="s">
        <v>253</v>
      </c>
      <c r="D313" s="44" t="s">
        <v>972</v>
      </c>
      <c r="E313" s="340" t="s">
        <v>2563</v>
      </c>
    </row>
    <row r="314" customFormat="false" ht="12.75" hidden="false" customHeight="false" outlineLevel="0" collapsed="false">
      <c r="B314" s="673" t="s">
        <v>426</v>
      </c>
      <c r="C314" s="44" t="s">
        <v>255</v>
      </c>
      <c r="D314" s="44" t="s">
        <v>345</v>
      </c>
      <c r="E314" s="340" t="s">
        <v>2564</v>
      </c>
    </row>
    <row r="315" customFormat="false" ht="12.75" hidden="false" customHeight="false" outlineLevel="0" collapsed="false">
      <c r="B315" s="673" t="s">
        <v>2710</v>
      </c>
      <c r="C315" s="44" t="s">
        <v>270</v>
      </c>
      <c r="D315" s="44" t="s">
        <v>345</v>
      </c>
      <c r="E315" s="340" t="s">
        <v>2595</v>
      </c>
    </row>
    <row r="316" customFormat="false" ht="12.75" hidden="false" customHeight="false" outlineLevel="0" collapsed="false">
      <c r="B316" s="673" t="s">
        <v>2711</v>
      </c>
      <c r="C316" s="44" t="s">
        <v>969</v>
      </c>
      <c r="D316" s="44" t="s">
        <v>972</v>
      </c>
      <c r="E316" s="340" t="s">
        <v>2595</v>
      </c>
    </row>
    <row r="317" customFormat="false" ht="12.75" hidden="false" customHeight="false" outlineLevel="0" collapsed="false">
      <c r="B317" s="673" t="s">
        <v>189</v>
      </c>
      <c r="C317" s="44" t="s">
        <v>301</v>
      </c>
      <c r="D317" s="44" t="s">
        <v>345</v>
      </c>
      <c r="E317" s="340" t="s">
        <v>2574</v>
      </c>
    </row>
    <row r="318" customFormat="false" ht="12.75" hidden="false" customHeight="false" outlineLevel="0" collapsed="false">
      <c r="B318" s="673" t="s">
        <v>2546</v>
      </c>
      <c r="C318" s="44" t="s">
        <v>253</v>
      </c>
      <c r="D318" s="44" t="s">
        <v>972</v>
      </c>
      <c r="E318" s="340" t="s">
        <v>2561</v>
      </c>
    </row>
    <row r="319" customFormat="false" ht="12.75" hidden="false" customHeight="false" outlineLevel="0" collapsed="false">
      <c r="B319" s="673" t="s">
        <v>2509</v>
      </c>
      <c r="C319" s="44" t="s">
        <v>969</v>
      </c>
      <c r="D319" s="44" t="s">
        <v>972</v>
      </c>
      <c r="E319" s="340" t="s">
        <v>2563</v>
      </c>
    </row>
    <row r="320" customFormat="false" ht="12.75" hidden="false" customHeight="false" outlineLevel="0" collapsed="false">
      <c r="B320" s="673" t="s">
        <v>2519</v>
      </c>
      <c r="C320" s="42" t="s">
        <v>259</v>
      </c>
      <c r="D320" s="42" t="s">
        <v>345</v>
      </c>
      <c r="E320" s="340" t="s">
        <v>2602</v>
      </c>
    </row>
    <row r="321" customFormat="false" ht="12.75" hidden="false" customHeight="false" outlineLevel="0" collapsed="false">
      <c r="B321" s="673" t="s">
        <v>2611</v>
      </c>
      <c r="C321" s="44" t="s">
        <v>253</v>
      </c>
      <c r="D321" s="44" t="s">
        <v>345</v>
      </c>
      <c r="E321" s="340" t="s">
        <v>2560</v>
      </c>
    </row>
    <row r="322" customFormat="false" ht="12.75" hidden="false" customHeight="false" outlineLevel="0" collapsed="false">
      <c r="B322" s="673" t="s">
        <v>2551</v>
      </c>
      <c r="C322" s="44" t="s">
        <v>259</v>
      </c>
      <c r="D322" s="44" t="s">
        <v>972</v>
      </c>
      <c r="E322" s="340" t="s">
        <v>2564</v>
      </c>
    </row>
    <row r="323" customFormat="false" ht="12.75" hidden="false" customHeight="false" outlineLevel="0" collapsed="false">
      <c r="B323" s="673" t="s">
        <v>2518</v>
      </c>
      <c r="C323" s="44" t="s">
        <v>270</v>
      </c>
      <c r="D323" s="44" t="s">
        <v>972</v>
      </c>
      <c r="E323" s="340" t="s">
        <v>2595</v>
      </c>
    </row>
    <row r="324" customFormat="false" ht="12.75" hidden="false" customHeight="false" outlineLevel="0" collapsed="false">
      <c r="B324" s="673" t="s">
        <v>2712</v>
      </c>
      <c r="C324" s="44" t="s">
        <v>262</v>
      </c>
      <c r="D324" s="44" t="s">
        <v>972</v>
      </c>
      <c r="E324" s="340" t="s">
        <v>2560</v>
      </c>
    </row>
    <row r="325" customFormat="false" ht="12.75" hidden="false" customHeight="false" outlineLevel="0" collapsed="false">
      <c r="B325" s="673" t="s">
        <v>429</v>
      </c>
      <c r="C325" s="44" t="s">
        <v>255</v>
      </c>
      <c r="D325" s="44" t="s">
        <v>972</v>
      </c>
      <c r="E325" s="340" t="s">
        <v>2560</v>
      </c>
    </row>
    <row r="326" customFormat="false" ht="12.75" hidden="false" customHeight="false" outlineLevel="0" collapsed="false">
      <c r="B326" s="673" t="s">
        <v>431</v>
      </c>
      <c r="C326" s="44"/>
      <c r="D326" s="44" t="s">
        <v>345</v>
      </c>
      <c r="E326" s="340" t="s">
        <v>2561</v>
      </c>
    </row>
    <row r="327" customFormat="false" ht="12.75" hidden="false" customHeight="false" outlineLevel="0" collapsed="false">
      <c r="B327" s="673" t="s">
        <v>2514</v>
      </c>
      <c r="C327" s="44" t="s">
        <v>255</v>
      </c>
      <c r="D327" s="44" t="s">
        <v>345</v>
      </c>
      <c r="E327" s="340" t="s">
        <v>2568</v>
      </c>
    </row>
    <row r="328" customFormat="false" ht="12.75" hidden="false" customHeight="false" outlineLevel="0" collapsed="false">
      <c r="B328" s="673" t="s">
        <v>433</v>
      </c>
      <c r="C328" s="42" t="s">
        <v>253</v>
      </c>
      <c r="D328" s="42" t="s">
        <v>345</v>
      </c>
      <c r="E328" s="340" t="s">
        <v>2563</v>
      </c>
    </row>
    <row r="329" customFormat="false" ht="12.75" hidden="false" customHeight="false" outlineLevel="0" collapsed="false">
      <c r="B329" s="673" t="s">
        <v>1012</v>
      </c>
      <c r="C329" s="44" t="s">
        <v>262</v>
      </c>
      <c r="D329" s="44" t="s">
        <v>345</v>
      </c>
      <c r="E329" s="340" t="s">
        <v>2562</v>
      </c>
    </row>
    <row r="330" customFormat="false" ht="12.75" hidden="false" customHeight="false" outlineLevel="0" collapsed="false">
      <c r="B330" s="673" t="s">
        <v>2713</v>
      </c>
      <c r="C330" s="44"/>
      <c r="D330" s="44" t="s">
        <v>345</v>
      </c>
      <c r="E330" s="340" t="s">
        <v>2560</v>
      </c>
    </row>
    <row r="331" customFormat="false" ht="12.75" hidden="false" customHeight="false" outlineLevel="0" collapsed="false">
      <c r="B331" s="673" t="s">
        <v>2420</v>
      </c>
      <c r="C331" s="44" t="s">
        <v>262</v>
      </c>
      <c r="D331" s="44" t="s">
        <v>345</v>
      </c>
      <c r="E331" s="340" t="s">
        <v>2564</v>
      </c>
    </row>
    <row r="332" customFormat="false" ht="12.75" hidden="false" customHeight="false" outlineLevel="0" collapsed="false">
      <c r="B332" s="673" t="s">
        <v>2423</v>
      </c>
      <c r="C332" s="42" t="s">
        <v>253</v>
      </c>
      <c r="D332" s="42" t="s">
        <v>345</v>
      </c>
      <c r="E332" s="340" t="s">
        <v>2561</v>
      </c>
    </row>
    <row r="333" customFormat="false" ht="12.75" hidden="false" customHeight="false" outlineLevel="0" collapsed="false">
      <c r="B333" s="673" t="s">
        <v>2422</v>
      </c>
      <c r="C333" s="44" t="s">
        <v>259</v>
      </c>
      <c r="D333" s="44" t="s">
        <v>345</v>
      </c>
      <c r="E333" s="340" t="s">
        <v>2564</v>
      </c>
    </row>
    <row r="334" customFormat="false" ht="12.75" hidden="false" customHeight="false" outlineLevel="0" collapsed="false">
      <c r="B334" s="673" t="s">
        <v>202</v>
      </c>
      <c r="C334" s="44" t="s">
        <v>969</v>
      </c>
      <c r="D334" s="44" t="s">
        <v>972</v>
      </c>
      <c r="E334" s="340" t="s">
        <v>2564</v>
      </c>
    </row>
    <row r="335" customFormat="false" ht="12.75" hidden="false" customHeight="false" outlineLevel="0" collapsed="false">
      <c r="B335" s="673" t="s">
        <v>2714</v>
      </c>
      <c r="C335" s="42" t="s">
        <v>253</v>
      </c>
      <c r="D335" s="42" t="s">
        <v>345</v>
      </c>
      <c r="E335" s="340" t="s">
        <v>2560</v>
      </c>
    </row>
    <row r="336" customFormat="false" ht="12.75" hidden="false" customHeight="false" outlineLevel="0" collapsed="false">
      <c r="B336" s="673" t="s">
        <v>2618</v>
      </c>
      <c r="C336" s="42" t="s">
        <v>262</v>
      </c>
      <c r="D336" s="42" t="s">
        <v>972</v>
      </c>
      <c r="E336" s="340" t="s">
        <v>2623</v>
      </c>
    </row>
    <row r="337" customFormat="false" ht="12.75" hidden="false" customHeight="false" outlineLevel="0" collapsed="false">
      <c r="B337" s="673" t="s">
        <v>437</v>
      </c>
      <c r="C337" s="44" t="s">
        <v>270</v>
      </c>
      <c r="D337" s="44" t="s">
        <v>345</v>
      </c>
      <c r="E337" s="340" t="s">
        <v>2602</v>
      </c>
    </row>
    <row r="338" customFormat="false" ht="12.75" hidden="false" customHeight="false" outlineLevel="0" collapsed="false">
      <c r="B338" s="673" t="s">
        <v>2552</v>
      </c>
      <c r="C338" s="44" t="s">
        <v>262</v>
      </c>
      <c r="D338" s="44" t="s">
        <v>972</v>
      </c>
      <c r="E338" s="340" t="s">
        <v>2564</v>
      </c>
    </row>
    <row r="339" customFormat="false" ht="12.75" hidden="false" customHeight="false" outlineLevel="0" collapsed="false">
      <c r="B339" s="673"/>
      <c r="C339" s="56"/>
      <c r="D339" s="56"/>
      <c r="E339" s="338"/>
    </row>
    <row r="340" customFormat="false" ht="12.75" hidden="false" customHeight="false" outlineLevel="0" collapsed="false">
      <c r="B340" s="673"/>
      <c r="C340" s="56"/>
      <c r="D340" s="56"/>
      <c r="E340" s="338"/>
    </row>
    <row r="341" customFormat="false" ht="12.75" hidden="false" customHeight="false" outlineLevel="0" collapsed="false">
      <c r="B341" s="673"/>
      <c r="C341" s="56"/>
      <c r="D341" s="56"/>
      <c r="E341" s="338"/>
    </row>
    <row r="342" customFormat="false" ht="12.75" hidden="false" customHeight="false" outlineLevel="0" collapsed="false">
      <c r="B342" s="673"/>
      <c r="C342" s="56"/>
      <c r="D342" s="56"/>
      <c r="E342" s="338"/>
    </row>
    <row r="343" customFormat="false" ht="12.75" hidden="false" customHeight="false" outlineLevel="0" collapsed="false">
      <c r="B343" s="673"/>
      <c r="C343" s="56"/>
      <c r="D343" s="56"/>
      <c r="E343" s="338"/>
    </row>
    <row r="344" customFormat="false" ht="12.75" hidden="false" customHeight="false" outlineLevel="0" collapsed="false">
      <c r="B344" s="673"/>
      <c r="C344" s="56"/>
      <c r="D344" s="56"/>
      <c r="E344" s="338"/>
    </row>
    <row r="345" customFormat="false" ht="12.75" hidden="false" customHeight="false" outlineLevel="0" collapsed="false">
      <c r="B345" s="691"/>
      <c r="C345" s="694"/>
      <c r="D345" s="694"/>
      <c r="E345" s="695"/>
    </row>
  </sheetData>
  <mergeCells count="2">
    <mergeCell ref="K1:K2"/>
    <mergeCell ref="L1:L2"/>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X13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2" topLeftCell="A3" activePane="bottomLeft" state="frozen"/>
      <selection pane="topLeft" activeCell="A1" activeCellId="0" sqref="A1"/>
      <selection pane="bottomLeft" activeCell="B56" activeCellId="0" sqref="B56"/>
    </sheetView>
  </sheetViews>
  <sheetFormatPr defaultRowHeight="12.75" zeroHeight="false" outlineLevelRow="0" outlineLevelCol="0"/>
  <cols>
    <col collapsed="false" customWidth="true" hidden="false" outlineLevel="0" max="1" min="1" style="696" width="5"/>
    <col collapsed="false" customWidth="true" hidden="false" outlineLevel="0" max="2" min="2" style="696" width="20.99"/>
    <col collapsed="false" customWidth="true" hidden="false" outlineLevel="0" max="3" min="3" style="696" width="9.16"/>
    <col collapsed="false" customWidth="true" hidden="false" outlineLevel="0" max="4" min="4" style="696" width="11.48"/>
    <col collapsed="false" customWidth="true" hidden="false" outlineLevel="0" max="5" min="5" style="696" width="11.82"/>
    <col collapsed="false" customWidth="true" hidden="false" outlineLevel="0" max="6" min="6" style="696" width="12.67"/>
    <col collapsed="false" customWidth="true" hidden="false" outlineLevel="0" max="7" min="7" style="696" width="10.51"/>
    <col collapsed="false" customWidth="true" hidden="false" outlineLevel="0" max="8" min="8" style="696" width="73.33"/>
    <col collapsed="false" customWidth="true" hidden="false" outlineLevel="0" max="9" min="9" style="696" width="15.01"/>
    <col collapsed="false" customWidth="true" hidden="false" outlineLevel="0" max="10" min="10" style="696" width="20.14"/>
    <col collapsed="false" customWidth="true" hidden="false" outlineLevel="0" max="11" min="11" style="696" width="5"/>
    <col collapsed="false" customWidth="true" hidden="false" outlineLevel="0" max="12" min="12" style="696" width="22.33"/>
    <col collapsed="false" customWidth="true" hidden="false" outlineLevel="0" max="13" min="13" style="696" width="9.16"/>
    <col collapsed="false" customWidth="true" hidden="false" outlineLevel="0" max="14" min="14" style="696" width="11.48"/>
    <col collapsed="false" customWidth="true" hidden="false" outlineLevel="0" max="15" min="15" style="696" width="11.82"/>
    <col collapsed="false" customWidth="true" hidden="false" outlineLevel="0" max="16" min="16" style="696" width="12.67"/>
    <col collapsed="false" customWidth="true" hidden="false" outlineLevel="0" max="17" min="17" style="696" width="9.5"/>
    <col collapsed="false" customWidth="true" hidden="false" outlineLevel="0" max="18" min="18" style="696" width="26.5"/>
    <col collapsed="false" customWidth="true" hidden="false" outlineLevel="0" max="19" min="19" style="696" width="12.16"/>
    <col collapsed="false" customWidth="true" hidden="false" outlineLevel="0" max="20" min="20" style="696" width="20.14"/>
    <col collapsed="false" customWidth="true" hidden="false" outlineLevel="0" max="21" min="21" style="696" width="5"/>
    <col collapsed="false" customWidth="true" hidden="false" outlineLevel="0" max="22" min="22" style="696" width="27.5"/>
    <col collapsed="false" customWidth="true" hidden="false" outlineLevel="0" max="23" min="23" style="696" width="9.16"/>
    <col collapsed="false" customWidth="true" hidden="false" outlineLevel="0" max="24" min="24" style="696" width="11.48"/>
    <col collapsed="false" customWidth="true" hidden="false" outlineLevel="0" max="25" min="25" style="696" width="11.82"/>
    <col collapsed="false" customWidth="true" hidden="false" outlineLevel="0" max="26" min="26" style="696" width="12.67"/>
    <col collapsed="false" customWidth="true" hidden="false" outlineLevel="0" max="27" min="27" style="696" width="11.82"/>
    <col collapsed="false" customWidth="true" hidden="false" outlineLevel="0" max="28" min="28" style="696" width="27.5"/>
    <col collapsed="false" customWidth="true" hidden="false" outlineLevel="0" max="29" min="29" style="696" width="12.83"/>
    <col collapsed="false" customWidth="true" hidden="false" outlineLevel="0" max="30" min="30" style="696" width="20.14"/>
    <col collapsed="false" customWidth="true" hidden="false" outlineLevel="0" max="31" min="31" style="696" width="5"/>
    <col collapsed="false" customWidth="true" hidden="false" outlineLevel="0" max="32" min="32" style="696" width="22.33"/>
    <col collapsed="false" customWidth="true" hidden="false" outlineLevel="0" max="33" min="33" style="696" width="9.16"/>
    <col collapsed="false" customWidth="true" hidden="false" outlineLevel="0" max="34" min="34" style="696" width="11.48"/>
    <col collapsed="false" customWidth="true" hidden="false" outlineLevel="0" max="35" min="35" style="696" width="11.82"/>
    <col collapsed="false" customWidth="true" hidden="false" outlineLevel="0" max="36" min="36" style="696" width="12.67"/>
    <col collapsed="false" customWidth="true" hidden="false" outlineLevel="0" max="37" min="37" style="696" width="9.5"/>
    <col collapsed="false" customWidth="true" hidden="false" outlineLevel="0" max="38" min="38" style="696" width="32.33"/>
    <col collapsed="false" customWidth="true" hidden="false" outlineLevel="0" max="39" min="39" style="696" width="12.16"/>
    <col collapsed="false" customWidth="true" hidden="false" outlineLevel="0" max="40" min="40" style="696" width="20.14"/>
    <col collapsed="false" customWidth="true" hidden="false" outlineLevel="0" max="41" min="41" style="696" width="5"/>
    <col collapsed="false" customWidth="true" hidden="false" outlineLevel="0" max="42" min="42" style="696" width="22.33"/>
    <col collapsed="false" customWidth="true" hidden="false" outlineLevel="0" max="43" min="43" style="696" width="9.16"/>
    <col collapsed="false" customWidth="true" hidden="false" outlineLevel="0" max="44" min="44" style="696" width="11.48"/>
    <col collapsed="false" customWidth="true" hidden="false" outlineLevel="0" max="45" min="45" style="696" width="11.82"/>
    <col collapsed="false" customWidth="true" hidden="false" outlineLevel="0" max="46" min="46" style="696" width="12.67"/>
    <col collapsed="false" customWidth="true" hidden="false" outlineLevel="0" max="47" min="47" style="696" width="9.5"/>
    <col collapsed="false" customWidth="true" hidden="false" outlineLevel="0" max="48" min="48" style="696" width="32.33"/>
    <col collapsed="false" customWidth="true" hidden="false" outlineLevel="0" max="49" min="49" style="696" width="12.16"/>
    <col collapsed="false" customWidth="true" hidden="false" outlineLevel="0" max="50" min="50" style="696" width="20.14"/>
    <col collapsed="false" customWidth="true" hidden="false" outlineLevel="0" max="1025" min="51" style="696" width="9.66"/>
  </cols>
  <sheetData>
    <row r="1" customFormat="false" ht="12.75" hidden="false" customHeight="false" outlineLevel="0" collapsed="false">
      <c r="B1" s="640" t="s">
        <v>986</v>
      </c>
      <c r="C1" s="640"/>
      <c r="D1" s="640"/>
      <c r="E1" s="640"/>
      <c r="F1" s="640"/>
      <c r="G1" s="640"/>
      <c r="H1" s="640"/>
      <c r="I1" s="640"/>
      <c r="J1" s="640"/>
      <c r="L1" s="640" t="s">
        <v>990</v>
      </c>
      <c r="M1" s="640"/>
      <c r="N1" s="640"/>
      <c r="O1" s="640"/>
      <c r="P1" s="640"/>
      <c r="Q1" s="640"/>
      <c r="R1" s="640"/>
      <c r="S1" s="640"/>
      <c r="T1" s="640"/>
      <c r="V1" s="640" t="s">
        <v>996</v>
      </c>
      <c r="W1" s="640"/>
      <c r="X1" s="640"/>
      <c r="Y1" s="640"/>
      <c r="Z1" s="640"/>
      <c r="AA1" s="640"/>
      <c r="AB1" s="640"/>
      <c r="AC1" s="640"/>
      <c r="AD1" s="640"/>
      <c r="AF1" s="640" t="s">
        <v>1001</v>
      </c>
      <c r="AG1" s="640"/>
      <c r="AH1" s="640"/>
      <c r="AI1" s="640"/>
      <c r="AJ1" s="640"/>
      <c r="AK1" s="640"/>
      <c r="AL1" s="640"/>
      <c r="AM1" s="640"/>
      <c r="AN1" s="640"/>
      <c r="AP1" s="640" t="s">
        <v>1005</v>
      </c>
      <c r="AQ1" s="640"/>
      <c r="AR1" s="640"/>
      <c r="AS1" s="640"/>
      <c r="AT1" s="640"/>
      <c r="AU1" s="640"/>
      <c r="AV1" s="640"/>
      <c r="AW1" s="640"/>
      <c r="AX1" s="640"/>
    </row>
    <row r="2" customFormat="false" ht="12.75" hidden="false" customHeight="false" outlineLevel="0" collapsed="false">
      <c r="B2" s="697" t="s">
        <v>2715</v>
      </c>
      <c r="C2" s="698" t="s">
        <v>981</v>
      </c>
      <c r="D2" s="698" t="s">
        <v>179</v>
      </c>
      <c r="E2" s="699" t="s">
        <v>1189</v>
      </c>
      <c r="F2" s="698" t="s">
        <v>1187</v>
      </c>
      <c r="G2" s="698" t="s">
        <v>338</v>
      </c>
      <c r="H2" s="698" t="s">
        <v>877</v>
      </c>
      <c r="I2" s="698" t="s">
        <v>1184</v>
      </c>
      <c r="J2" s="700" t="s">
        <v>1185</v>
      </c>
      <c r="L2" s="701" t="s">
        <v>2715</v>
      </c>
      <c r="M2" s="702" t="s">
        <v>981</v>
      </c>
      <c r="N2" s="702" t="s">
        <v>179</v>
      </c>
      <c r="O2" s="703" t="s">
        <v>1189</v>
      </c>
      <c r="P2" s="702" t="s">
        <v>1187</v>
      </c>
      <c r="Q2" s="702" t="s">
        <v>338</v>
      </c>
      <c r="R2" s="702" t="s">
        <v>877</v>
      </c>
      <c r="S2" s="702" t="s">
        <v>1184</v>
      </c>
      <c r="T2" s="704" t="s">
        <v>1185</v>
      </c>
      <c r="V2" s="701" t="s">
        <v>2715</v>
      </c>
      <c r="W2" s="702" t="s">
        <v>981</v>
      </c>
      <c r="X2" s="702" t="s">
        <v>179</v>
      </c>
      <c r="Y2" s="703" t="s">
        <v>1189</v>
      </c>
      <c r="Z2" s="702" t="s">
        <v>1187</v>
      </c>
      <c r="AA2" s="702" t="s">
        <v>338</v>
      </c>
      <c r="AB2" s="702" t="s">
        <v>877</v>
      </c>
      <c r="AC2" s="702" t="s">
        <v>1184</v>
      </c>
      <c r="AD2" s="705" t="s">
        <v>1185</v>
      </c>
      <c r="AF2" s="701" t="s">
        <v>2715</v>
      </c>
      <c r="AG2" s="702" t="s">
        <v>981</v>
      </c>
      <c r="AH2" s="702" t="s">
        <v>179</v>
      </c>
      <c r="AI2" s="703" t="s">
        <v>1189</v>
      </c>
      <c r="AJ2" s="702" t="s">
        <v>1187</v>
      </c>
      <c r="AK2" s="702" t="s">
        <v>338</v>
      </c>
      <c r="AL2" s="702" t="s">
        <v>877</v>
      </c>
      <c r="AM2" s="702" t="s">
        <v>1184</v>
      </c>
      <c r="AN2" s="705" t="s">
        <v>1185</v>
      </c>
      <c r="AP2" s="701" t="s">
        <v>2715</v>
      </c>
      <c r="AQ2" s="702" t="s">
        <v>981</v>
      </c>
      <c r="AR2" s="702" t="s">
        <v>179</v>
      </c>
      <c r="AS2" s="703" t="s">
        <v>1189</v>
      </c>
      <c r="AT2" s="702" t="s">
        <v>1187</v>
      </c>
      <c r="AU2" s="702" t="s">
        <v>338</v>
      </c>
      <c r="AV2" s="702" t="s">
        <v>877</v>
      </c>
      <c r="AW2" s="702" t="s">
        <v>1184</v>
      </c>
      <c r="AX2" s="704" t="s">
        <v>1185</v>
      </c>
    </row>
    <row r="3" customFormat="false" ht="12.75" hidden="false" customHeight="false" outlineLevel="0" collapsed="false">
      <c r="A3" s="706" t="n">
        <v>1</v>
      </c>
      <c r="B3" s="707" t="s">
        <v>2716</v>
      </c>
      <c r="C3" s="708" t="n">
        <v>1</v>
      </c>
      <c r="D3" s="708" t="n">
        <v>0</v>
      </c>
      <c r="E3" s="708" t="s">
        <v>2717</v>
      </c>
      <c r="F3" s="708" t="s">
        <v>2718</v>
      </c>
      <c r="G3" s="708" t="s">
        <v>2719</v>
      </c>
      <c r="H3" s="709" t="s">
        <v>2720</v>
      </c>
      <c r="I3" s="708" t="s">
        <v>2721</v>
      </c>
      <c r="J3" s="710" t="s">
        <v>2722</v>
      </c>
      <c r="K3" s="706" t="n">
        <f aca="false">K2+1</f>
        <v>1</v>
      </c>
      <c r="L3" s="711" t="s">
        <v>2723</v>
      </c>
      <c r="M3" s="708" t="n">
        <v>1</v>
      </c>
      <c r="N3" s="708" t="n">
        <v>0</v>
      </c>
      <c r="O3" s="708" t="s">
        <v>2724</v>
      </c>
      <c r="P3" s="708" t="s">
        <v>2718</v>
      </c>
      <c r="Q3" s="708" t="s">
        <v>2719</v>
      </c>
      <c r="R3" s="709" t="s">
        <v>2725</v>
      </c>
      <c r="S3" s="708" t="s">
        <v>2726</v>
      </c>
      <c r="T3" s="712" t="s">
        <v>2727</v>
      </c>
      <c r="U3" s="706" t="n">
        <f aca="false">U2+1</f>
        <v>1</v>
      </c>
      <c r="V3" s="713" t="s">
        <v>2728</v>
      </c>
      <c r="W3" s="714" t="n">
        <v>1</v>
      </c>
      <c r="X3" s="714" t="n">
        <v>1</v>
      </c>
      <c r="Y3" s="715" t="s">
        <v>2729</v>
      </c>
      <c r="Z3" s="714" t="s">
        <v>2718</v>
      </c>
      <c r="AA3" s="714" t="s">
        <v>2730</v>
      </c>
      <c r="AB3" s="714" t="s">
        <v>2731</v>
      </c>
      <c r="AC3" s="714" t="s">
        <v>2732</v>
      </c>
      <c r="AD3" s="712" t="s">
        <v>2733</v>
      </c>
      <c r="AE3" s="716" t="n">
        <f aca="false">AE2+1</f>
        <v>1</v>
      </c>
      <c r="AF3" s="717" t="s">
        <v>2734</v>
      </c>
      <c r="AG3" s="718" t="n">
        <v>1</v>
      </c>
      <c r="AH3" s="718" t="n">
        <v>2</v>
      </c>
      <c r="AI3" s="719" t="s">
        <v>2735</v>
      </c>
      <c r="AJ3" s="718" t="n">
        <v>6</v>
      </c>
      <c r="AK3" s="718" t="s">
        <v>2736</v>
      </c>
      <c r="AL3" s="718" t="s">
        <v>2731</v>
      </c>
      <c r="AM3" s="718" t="s">
        <v>2737</v>
      </c>
      <c r="AN3" s="712" t="s">
        <v>2733</v>
      </c>
      <c r="AO3" s="716" t="n">
        <f aca="false">AO2+1</f>
        <v>1</v>
      </c>
      <c r="AP3" s="707" t="s">
        <v>2716</v>
      </c>
      <c r="AQ3" s="708" t="n">
        <v>1</v>
      </c>
      <c r="AR3" s="708" t="n">
        <v>0</v>
      </c>
      <c r="AS3" s="708" t="s">
        <v>2717</v>
      </c>
      <c r="AT3" s="708" t="s">
        <v>2718</v>
      </c>
      <c r="AU3" s="708" t="s">
        <v>2719</v>
      </c>
      <c r="AV3" s="709" t="s">
        <v>2720</v>
      </c>
      <c r="AW3" s="708" t="s">
        <v>2721</v>
      </c>
      <c r="AX3" s="710" t="s">
        <v>2722</v>
      </c>
    </row>
    <row r="4" customFormat="false" ht="12.75" hidden="false" customHeight="false" outlineLevel="0" collapsed="false">
      <c r="A4" s="706" t="n">
        <f aca="false">A3+1</f>
        <v>2</v>
      </c>
      <c r="B4" s="711" t="s">
        <v>2738</v>
      </c>
      <c r="C4" s="708" t="n">
        <v>1</v>
      </c>
      <c r="D4" s="708" t="n">
        <v>1</v>
      </c>
      <c r="E4" s="708" t="s">
        <v>2739</v>
      </c>
      <c r="F4" s="708" t="s">
        <v>2718</v>
      </c>
      <c r="G4" s="708" t="s">
        <v>2719</v>
      </c>
      <c r="H4" s="709" t="s">
        <v>2740</v>
      </c>
      <c r="I4" s="708" t="s">
        <v>2721</v>
      </c>
      <c r="J4" s="712" t="s">
        <v>2741</v>
      </c>
      <c r="K4" s="706" t="n">
        <f aca="false">K3+1</f>
        <v>2</v>
      </c>
      <c r="L4" s="711" t="s">
        <v>2742</v>
      </c>
      <c r="M4" s="708" t="n">
        <v>1</v>
      </c>
      <c r="N4" s="708" t="n">
        <v>0</v>
      </c>
      <c r="O4" s="708" t="s">
        <v>2743</v>
      </c>
      <c r="P4" s="708" t="s">
        <v>2718</v>
      </c>
      <c r="Q4" s="708" t="s">
        <v>2744</v>
      </c>
      <c r="R4" s="709" t="s">
        <v>2745</v>
      </c>
      <c r="S4" s="708" t="s">
        <v>2721</v>
      </c>
      <c r="T4" s="712" t="s">
        <v>2746</v>
      </c>
      <c r="U4" s="706" t="n">
        <f aca="false">U3+1</f>
        <v>2</v>
      </c>
      <c r="V4" s="713" t="s">
        <v>2747</v>
      </c>
      <c r="W4" s="714" t="n">
        <v>1</v>
      </c>
      <c r="X4" s="714" t="n">
        <v>1</v>
      </c>
      <c r="Y4" s="715" t="s">
        <v>2748</v>
      </c>
      <c r="Z4" s="714" t="s">
        <v>2718</v>
      </c>
      <c r="AA4" s="714" t="s">
        <v>2749</v>
      </c>
      <c r="AB4" s="714" t="s">
        <v>2750</v>
      </c>
      <c r="AC4" s="714" t="s">
        <v>2751</v>
      </c>
      <c r="AD4" s="712" t="s">
        <v>2752</v>
      </c>
      <c r="AE4" s="716" t="n">
        <f aca="false">AE3+1</f>
        <v>2</v>
      </c>
      <c r="AF4" s="720" t="s">
        <v>2753</v>
      </c>
      <c r="AG4" s="714" t="n">
        <v>1</v>
      </c>
      <c r="AH4" s="714" t="n">
        <v>0</v>
      </c>
      <c r="AI4" s="715" t="s">
        <v>2724</v>
      </c>
      <c r="AJ4" s="714" t="s">
        <v>2754</v>
      </c>
      <c r="AK4" s="714" t="s">
        <v>2755</v>
      </c>
      <c r="AL4" s="714" t="s">
        <v>2756</v>
      </c>
      <c r="AM4" s="714" t="s">
        <v>2757</v>
      </c>
      <c r="AN4" s="712" t="s">
        <v>2746</v>
      </c>
      <c r="AO4" s="716" t="n">
        <f aca="false">AO3+1</f>
        <v>2</v>
      </c>
      <c r="AP4" s="711" t="s">
        <v>2723</v>
      </c>
      <c r="AQ4" s="708" t="n">
        <v>1</v>
      </c>
      <c r="AR4" s="708" t="n">
        <v>0</v>
      </c>
      <c r="AS4" s="708" t="s">
        <v>2724</v>
      </c>
      <c r="AT4" s="708" t="s">
        <v>2718</v>
      </c>
      <c r="AU4" s="708" t="s">
        <v>2719</v>
      </c>
      <c r="AV4" s="709" t="s">
        <v>2725</v>
      </c>
      <c r="AW4" s="708" t="s">
        <v>2726</v>
      </c>
      <c r="AX4" s="712" t="s">
        <v>2727</v>
      </c>
    </row>
    <row r="5" customFormat="false" ht="12.75" hidden="false" customHeight="false" outlineLevel="0" collapsed="false">
      <c r="A5" s="706" t="n">
        <f aca="false">A4+1</f>
        <v>3</v>
      </c>
      <c r="B5" s="711" t="s">
        <v>2758</v>
      </c>
      <c r="C5" s="708" t="n">
        <v>1</v>
      </c>
      <c r="D5" s="708" t="n">
        <v>0</v>
      </c>
      <c r="E5" s="708" t="s">
        <v>2724</v>
      </c>
      <c r="F5" s="708" t="s">
        <v>2718</v>
      </c>
      <c r="G5" s="708" t="s">
        <v>2719</v>
      </c>
      <c r="H5" s="709" t="s">
        <v>2759</v>
      </c>
      <c r="I5" s="708" t="s">
        <v>2721</v>
      </c>
      <c r="J5" s="712" t="s">
        <v>2760</v>
      </c>
      <c r="K5" s="706" t="n">
        <f aca="false">K4+1</f>
        <v>3</v>
      </c>
      <c r="L5" s="711" t="s">
        <v>2761</v>
      </c>
      <c r="M5" s="708" t="n">
        <v>1</v>
      </c>
      <c r="N5" s="708" t="n">
        <v>2</v>
      </c>
      <c r="O5" s="708" t="s">
        <v>2762</v>
      </c>
      <c r="P5" s="708" t="s">
        <v>2718</v>
      </c>
      <c r="Q5" s="708" t="s">
        <v>2719</v>
      </c>
      <c r="R5" s="709" t="s">
        <v>2763</v>
      </c>
      <c r="S5" s="708" t="s">
        <v>2764</v>
      </c>
      <c r="T5" s="712" t="s">
        <v>2746</v>
      </c>
      <c r="U5" s="706" t="n">
        <f aca="false">U4+1</f>
        <v>3</v>
      </c>
      <c r="V5" s="713" t="s">
        <v>2765</v>
      </c>
      <c r="W5" s="714" t="n">
        <v>1</v>
      </c>
      <c r="X5" s="714" t="n">
        <v>2</v>
      </c>
      <c r="Y5" s="715" t="s">
        <v>2766</v>
      </c>
      <c r="Z5" s="714" t="s">
        <v>2718</v>
      </c>
      <c r="AA5" s="714" t="s">
        <v>2719</v>
      </c>
      <c r="AB5" s="714" t="s">
        <v>2767</v>
      </c>
      <c r="AC5" s="714" t="s">
        <v>2768</v>
      </c>
      <c r="AD5" s="712" t="s">
        <v>2769</v>
      </c>
      <c r="AE5" s="716" t="n">
        <f aca="false">AE4+1</f>
        <v>3</v>
      </c>
      <c r="AF5" s="720" t="s">
        <v>2770</v>
      </c>
      <c r="AG5" s="714" t="n">
        <v>1</v>
      </c>
      <c r="AH5" s="714" t="n">
        <v>1</v>
      </c>
      <c r="AI5" s="715" t="s">
        <v>2771</v>
      </c>
      <c r="AJ5" s="714" t="s">
        <v>2718</v>
      </c>
      <c r="AK5" s="714" t="s">
        <v>2730</v>
      </c>
      <c r="AL5" s="714" t="s">
        <v>2772</v>
      </c>
      <c r="AM5" s="714" t="s">
        <v>2732</v>
      </c>
      <c r="AN5" s="712" t="s">
        <v>2773</v>
      </c>
      <c r="AO5" s="716" t="n">
        <f aca="false">AO4+1</f>
        <v>3</v>
      </c>
      <c r="AP5" s="713" t="s">
        <v>2747</v>
      </c>
      <c r="AQ5" s="714" t="n">
        <v>1</v>
      </c>
      <c r="AR5" s="714" t="n">
        <v>1</v>
      </c>
      <c r="AS5" s="715" t="s">
        <v>2748</v>
      </c>
      <c r="AT5" s="714" t="s">
        <v>2718</v>
      </c>
      <c r="AU5" s="714" t="s">
        <v>2749</v>
      </c>
      <c r="AV5" s="714" t="s">
        <v>2750</v>
      </c>
      <c r="AW5" s="714" t="s">
        <v>2751</v>
      </c>
      <c r="AX5" s="712" t="s">
        <v>2752</v>
      </c>
    </row>
    <row r="6" customFormat="false" ht="12.75" hidden="false" customHeight="false" outlineLevel="0" collapsed="false">
      <c r="A6" s="706" t="n">
        <f aca="false">A5+1</f>
        <v>4</v>
      </c>
      <c r="B6" s="711" t="s">
        <v>2774</v>
      </c>
      <c r="C6" s="708" t="n">
        <v>1</v>
      </c>
      <c r="D6" s="708" t="n">
        <v>1</v>
      </c>
      <c r="E6" s="708" t="s">
        <v>2775</v>
      </c>
      <c r="F6" s="708" t="s">
        <v>2718</v>
      </c>
      <c r="G6" s="708" t="s">
        <v>2776</v>
      </c>
      <c r="H6" s="709" t="s">
        <v>2731</v>
      </c>
      <c r="I6" s="708" t="s">
        <v>2777</v>
      </c>
      <c r="J6" s="712" t="s">
        <v>2760</v>
      </c>
      <c r="K6" s="706" t="n">
        <f aca="false">K5+1</f>
        <v>4</v>
      </c>
      <c r="L6" s="711" t="s">
        <v>2778</v>
      </c>
      <c r="M6" s="708" t="n">
        <v>1</v>
      </c>
      <c r="N6" s="708" t="n">
        <v>0</v>
      </c>
      <c r="O6" s="708" t="s">
        <v>2779</v>
      </c>
      <c r="P6" s="708" t="s">
        <v>2718</v>
      </c>
      <c r="Q6" s="708" t="s">
        <v>2719</v>
      </c>
      <c r="R6" s="709" t="s">
        <v>2772</v>
      </c>
      <c r="S6" s="708" t="s">
        <v>2780</v>
      </c>
      <c r="T6" s="712" t="s">
        <v>2781</v>
      </c>
      <c r="U6" s="706" t="n">
        <f aca="false">U5+1</f>
        <v>4</v>
      </c>
      <c r="V6" s="713" t="s">
        <v>2782</v>
      </c>
      <c r="W6" s="714" t="n">
        <v>1</v>
      </c>
      <c r="X6" s="714" t="n">
        <v>1</v>
      </c>
      <c r="Y6" s="715" t="s">
        <v>2783</v>
      </c>
      <c r="Z6" s="714" t="s">
        <v>2718</v>
      </c>
      <c r="AA6" s="714" t="s">
        <v>2730</v>
      </c>
      <c r="AB6" s="714" t="s">
        <v>2784</v>
      </c>
      <c r="AC6" s="714" t="s">
        <v>2785</v>
      </c>
      <c r="AD6" s="712" t="s">
        <v>2786</v>
      </c>
      <c r="AE6" s="716" t="n">
        <f aca="false">AE5+1</f>
        <v>4</v>
      </c>
      <c r="AF6" s="720" t="s">
        <v>2787</v>
      </c>
      <c r="AG6" s="714" t="n">
        <v>1</v>
      </c>
      <c r="AH6" s="714" t="n">
        <v>1</v>
      </c>
      <c r="AI6" s="715" t="s">
        <v>2788</v>
      </c>
      <c r="AJ6" s="714" t="n">
        <v>6</v>
      </c>
      <c r="AK6" s="714" t="s">
        <v>2736</v>
      </c>
      <c r="AL6" s="714" t="s">
        <v>262</v>
      </c>
      <c r="AM6" s="714" t="s">
        <v>2732</v>
      </c>
      <c r="AN6" s="712" t="s">
        <v>2789</v>
      </c>
      <c r="AO6" s="716" t="n">
        <f aca="false">AO5+1</f>
        <v>4</v>
      </c>
      <c r="AP6" s="711" t="s">
        <v>2790</v>
      </c>
      <c r="AQ6" s="708" t="n">
        <v>1</v>
      </c>
      <c r="AR6" s="708" t="n">
        <v>1</v>
      </c>
      <c r="AS6" s="708" t="s">
        <v>2791</v>
      </c>
      <c r="AT6" s="708" t="s">
        <v>2718</v>
      </c>
      <c r="AU6" s="708" t="s">
        <v>2719</v>
      </c>
      <c r="AV6" s="709" t="s">
        <v>2792</v>
      </c>
      <c r="AW6" s="708" t="s">
        <v>2785</v>
      </c>
      <c r="AX6" s="712" t="s">
        <v>2769</v>
      </c>
    </row>
    <row r="7" customFormat="false" ht="12.75" hidden="false" customHeight="false" outlineLevel="0" collapsed="false">
      <c r="A7" s="706" t="n">
        <f aca="false">A6+1</f>
        <v>5</v>
      </c>
      <c r="B7" s="711" t="s">
        <v>2793</v>
      </c>
      <c r="C7" s="708" t="n">
        <v>1</v>
      </c>
      <c r="D7" s="708" t="n">
        <v>2</v>
      </c>
      <c r="E7" s="708" t="s">
        <v>2762</v>
      </c>
      <c r="F7" s="708" t="s">
        <v>2754</v>
      </c>
      <c r="G7" s="708" t="s">
        <v>2794</v>
      </c>
      <c r="H7" s="709" t="s">
        <v>2795</v>
      </c>
      <c r="I7" s="708" t="s">
        <v>2796</v>
      </c>
      <c r="J7" s="712" t="s">
        <v>2797</v>
      </c>
      <c r="K7" s="706" t="n">
        <f aca="false">K6+1</f>
        <v>5</v>
      </c>
      <c r="L7" s="711" t="s">
        <v>2790</v>
      </c>
      <c r="M7" s="708" t="n">
        <v>1</v>
      </c>
      <c r="N7" s="708" t="n">
        <v>1</v>
      </c>
      <c r="O7" s="708" t="s">
        <v>2791</v>
      </c>
      <c r="P7" s="708" t="s">
        <v>2718</v>
      </c>
      <c r="Q7" s="708" t="s">
        <v>2719</v>
      </c>
      <c r="R7" s="709" t="s">
        <v>2792</v>
      </c>
      <c r="S7" s="708" t="s">
        <v>2785</v>
      </c>
      <c r="T7" s="712" t="s">
        <v>2769</v>
      </c>
      <c r="U7" s="706" t="n">
        <f aca="false">U6+1</f>
        <v>5</v>
      </c>
      <c r="V7" s="713" t="s">
        <v>2798</v>
      </c>
      <c r="W7" s="714" t="n">
        <v>1</v>
      </c>
      <c r="X7" s="714" t="n">
        <v>0</v>
      </c>
      <c r="Y7" s="715" t="s">
        <v>2724</v>
      </c>
      <c r="Z7" s="714" t="s">
        <v>2718</v>
      </c>
      <c r="AA7" s="714" t="s">
        <v>2719</v>
      </c>
      <c r="AB7" s="714" t="s">
        <v>2799</v>
      </c>
      <c r="AC7" s="714" t="s">
        <v>2785</v>
      </c>
      <c r="AD7" s="712" t="s">
        <v>2800</v>
      </c>
      <c r="AE7" s="716" t="n">
        <f aca="false">AE6+1</f>
        <v>5</v>
      </c>
      <c r="AF7" s="720" t="s">
        <v>2801</v>
      </c>
      <c r="AG7" s="714" t="n">
        <v>1</v>
      </c>
      <c r="AH7" s="714" t="n">
        <v>1</v>
      </c>
      <c r="AI7" s="715" t="s">
        <v>2739</v>
      </c>
      <c r="AJ7" s="714" t="s">
        <v>2718</v>
      </c>
      <c r="AK7" s="714" t="s">
        <v>2802</v>
      </c>
      <c r="AL7" s="714" t="s">
        <v>2772</v>
      </c>
      <c r="AM7" s="714" t="s">
        <v>2721</v>
      </c>
      <c r="AN7" s="712" t="s">
        <v>2803</v>
      </c>
      <c r="AO7" s="716" t="n">
        <f aca="false">AO6+1</f>
        <v>5</v>
      </c>
      <c r="AP7" s="711" t="s">
        <v>2738</v>
      </c>
      <c r="AQ7" s="708" t="n">
        <v>1</v>
      </c>
      <c r="AR7" s="708" t="n">
        <v>1</v>
      </c>
      <c r="AS7" s="708" t="s">
        <v>2739</v>
      </c>
      <c r="AT7" s="708" t="s">
        <v>2718</v>
      </c>
      <c r="AU7" s="708" t="s">
        <v>2719</v>
      </c>
      <c r="AV7" s="709" t="s">
        <v>2740</v>
      </c>
      <c r="AW7" s="708" t="s">
        <v>2721</v>
      </c>
      <c r="AX7" s="712" t="s">
        <v>2741</v>
      </c>
    </row>
    <row r="8" customFormat="false" ht="12.75" hidden="false" customHeight="false" outlineLevel="0" collapsed="false">
      <c r="A8" s="706" t="n">
        <f aca="false">A7+1</f>
        <v>6</v>
      </c>
      <c r="B8" s="711" t="s">
        <v>2804</v>
      </c>
      <c r="C8" s="708" t="n">
        <v>1</v>
      </c>
      <c r="D8" s="708" t="n">
        <v>1</v>
      </c>
      <c r="E8" s="708" t="s">
        <v>2805</v>
      </c>
      <c r="F8" s="708" t="n">
        <v>6</v>
      </c>
      <c r="G8" s="708" t="s">
        <v>2719</v>
      </c>
      <c r="H8" s="709" t="s">
        <v>2806</v>
      </c>
      <c r="I8" s="708" t="s">
        <v>2737</v>
      </c>
      <c r="J8" s="712" t="s">
        <v>2807</v>
      </c>
      <c r="K8" s="706" t="n">
        <f aca="false">K7+1</f>
        <v>6</v>
      </c>
      <c r="L8" s="711" t="s">
        <v>2808</v>
      </c>
      <c r="M8" s="708" t="n">
        <v>1</v>
      </c>
      <c r="N8" s="708" t="n">
        <v>1</v>
      </c>
      <c r="O8" s="708" t="s">
        <v>2809</v>
      </c>
      <c r="P8" s="708" t="s">
        <v>2718</v>
      </c>
      <c r="Q8" s="708" t="s">
        <v>2719</v>
      </c>
      <c r="R8" s="709" t="s">
        <v>262</v>
      </c>
      <c r="S8" s="708" t="s">
        <v>2810</v>
      </c>
      <c r="T8" s="712" t="s">
        <v>2789</v>
      </c>
      <c r="U8" s="706" t="n">
        <f aca="false">U7+1</f>
        <v>6</v>
      </c>
      <c r="V8" s="713" t="s">
        <v>2811</v>
      </c>
      <c r="W8" s="714" t="n">
        <v>1</v>
      </c>
      <c r="X8" s="714" t="n">
        <v>1</v>
      </c>
      <c r="Y8" s="715" t="s">
        <v>2812</v>
      </c>
      <c r="Z8" s="714" t="s">
        <v>2718</v>
      </c>
      <c r="AA8" s="714" t="s">
        <v>2813</v>
      </c>
      <c r="AB8" s="714" t="s">
        <v>2750</v>
      </c>
      <c r="AC8" s="714" t="s">
        <v>2732</v>
      </c>
      <c r="AD8" s="712" t="s">
        <v>2760</v>
      </c>
      <c r="AE8" s="716" t="n">
        <f aca="false">AE7+1</f>
        <v>6</v>
      </c>
      <c r="AF8" s="720" t="s">
        <v>2814</v>
      </c>
      <c r="AG8" s="714" t="n">
        <v>1</v>
      </c>
      <c r="AH8" s="714" t="n">
        <v>1</v>
      </c>
      <c r="AI8" s="715" t="s">
        <v>2748</v>
      </c>
      <c r="AJ8" s="714" t="s">
        <v>2718</v>
      </c>
      <c r="AK8" s="714" t="s">
        <v>2749</v>
      </c>
      <c r="AL8" s="714" t="s">
        <v>2750</v>
      </c>
      <c r="AM8" s="714" t="s">
        <v>2732</v>
      </c>
      <c r="AN8" s="712" t="s">
        <v>2815</v>
      </c>
      <c r="AO8" s="716" t="n">
        <f aca="false">AO7+1</f>
        <v>6</v>
      </c>
      <c r="AP8" s="711" t="s">
        <v>2758</v>
      </c>
      <c r="AQ8" s="708" t="n">
        <v>1</v>
      </c>
      <c r="AR8" s="708" t="n">
        <v>0</v>
      </c>
      <c r="AS8" s="708" t="s">
        <v>2724</v>
      </c>
      <c r="AT8" s="708" t="s">
        <v>2718</v>
      </c>
      <c r="AU8" s="708" t="s">
        <v>2719</v>
      </c>
      <c r="AV8" s="709" t="s">
        <v>2759</v>
      </c>
      <c r="AW8" s="708" t="s">
        <v>2721</v>
      </c>
      <c r="AX8" s="712" t="s">
        <v>2760</v>
      </c>
    </row>
    <row r="9" customFormat="false" ht="12.75" hidden="false" customHeight="false" outlineLevel="0" collapsed="false">
      <c r="A9" s="706" t="n">
        <f aca="false">A8+1</f>
        <v>7</v>
      </c>
      <c r="B9" s="711" t="s">
        <v>2816</v>
      </c>
      <c r="C9" s="708" t="n">
        <v>1</v>
      </c>
      <c r="D9" s="708" t="n">
        <v>0</v>
      </c>
      <c r="E9" s="708" t="s">
        <v>2717</v>
      </c>
      <c r="F9" s="708" t="n">
        <v>6</v>
      </c>
      <c r="G9" s="708" t="s">
        <v>2749</v>
      </c>
      <c r="H9" s="709" t="s">
        <v>2817</v>
      </c>
      <c r="I9" s="708" t="s">
        <v>2721</v>
      </c>
      <c r="J9" s="712" t="s">
        <v>2818</v>
      </c>
      <c r="K9" s="706" t="n">
        <f aca="false">K8+1</f>
        <v>7</v>
      </c>
      <c r="L9" s="711" t="s">
        <v>2819</v>
      </c>
      <c r="M9" s="708" t="n">
        <v>1</v>
      </c>
      <c r="N9" s="708" t="n">
        <v>1</v>
      </c>
      <c r="O9" s="708" t="s">
        <v>2748</v>
      </c>
      <c r="P9" s="708" t="s">
        <v>2718</v>
      </c>
      <c r="Q9" s="708" t="s">
        <v>2719</v>
      </c>
      <c r="R9" s="709" t="s">
        <v>2820</v>
      </c>
      <c r="S9" s="708" t="s">
        <v>2821</v>
      </c>
      <c r="T9" s="712" t="s">
        <v>2789</v>
      </c>
      <c r="U9" s="706" t="n">
        <f aca="false">U8+1</f>
        <v>7</v>
      </c>
      <c r="V9" s="713" t="s">
        <v>2822</v>
      </c>
      <c r="W9" s="714" t="n">
        <v>1</v>
      </c>
      <c r="X9" s="714" t="n">
        <v>1</v>
      </c>
      <c r="Y9" s="715" t="s">
        <v>2729</v>
      </c>
      <c r="Z9" s="714" t="s">
        <v>2718</v>
      </c>
      <c r="AA9" s="714" t="s">
        <v>2823</v>
      </c>
      <c r="AB9" s="714" t="s">
        <v>2772</v>
      </c>
      <c r="AC9" s="714" t="s">
        <v>2751</v>
      </c>
      <c r="AD9" s="712" t="s">
        <v>2824</v>
      </c>
      <c r="AE9" s="716" t="n">
        <f aca="false">AE8+1</f>
        <v>7</v>
      </c>
      <c r="AF9" s="720" t="s">
        <v>2825</v>
      </c>
      <c r="AG9" s="714" t="n">
        <v>1</v>
      </c>
      <c r="AH9" s="714" t="n">
        <v>0</v>
      </c>
      <c r="AI9" s="715" t="s">
        <v>2826</v>
      </c>
      <c r="AJ9" s="714" t="s">
        <v>2718</v>
      </c>
      <c r="AK9" s="714" t="s">
        <v>2827</v>
      </c>
      <c r="AL9" s="714" t="s">
        <v>2828</v>
      </c>
      <c r="AM9" s="714" t="s">
        <v>2829</v>
      </c>
      <c r="AN9" s="712" t="s">
        <v>2830</v>
      </c>
      <c r="AO9" s="716" t="n">
        <f aca="false">AO8+1</f>
        <v>7</v>
      </c>
      <c r="AP9" s="711" t="s">
        <v>2774</v>
      </c>
      <c r="AQ9" s="708" t="n">
        <v>1</v>
      </c>
      <c r="AR9" s="708" t="n">
        <v>1</v>
      </c>
      <c r="AS9" s="708" t="s">
        <v>2775</v>
      </c>
      <c r="AT9" s="708" t="s">
        <v>2718</v>
      </c>
      <c r="AU9" s="708" t="s">
        <v>2776</v>
      </c>
      <c r="AV9" s="709" t="s">
        <v>2731</v>
      </c>
      <c r="AW9" s="708" t="s">
        <v>2777</v>
      </c>
      <c r="AX9" s="712" t="s">
        <v>2760</v>
      </c>
    </row>
    <row r="10" customFormat="false" ht="12.75" hidden="false" customHeight="false" outlineLevel="0" collapsed="false">
      <c r="A10" s="706" t="n">
        <f aca="false">A9+1</f>
        <v>8</v>
      </c>
      <c r="B10" s="711" t="s">
        <v>2831</v>
      </c>
      <c r="C10" s="708" t="n">
        <v>1</v>
      </c>
      <c r="D10" s="708" t="n">
        <v>0</v>
      </c>
      <c r="E10" s="708" t="s">
        <v>2724</v>
      </c>
      <c r="F10" s="708" t="n">
        <v>6</v>
      </c>
      <c r="G10" s="708" t="s">
        <v>2719</v>
      </c>
      <c r="H10" s="709" t="s">
        <v>2832</v>
      </c>
      <c r="I10" s="708" t="s">
        <v>2737</v>
      </c>
      <c r="J10" s="712" t="s">
        <v>2833</v>
      </c>
      <c r="K10" s="706" t="n">
        <f aca="false">K9+1</f>
        <v>8</v>
      </c>
      <c r="L10" s="711" t="s">
        <v>2834</v>
      </c>
      <c r="M10" s="708" t="n">
        <v>1</v>
      </c>
      <c r="N10" s="708" t="n">
        <v>2</v>
      </c>
      <c r="O10" s="708" t="s">
        <v>2791</v>
      </c>
      <c r="P10" s="708" t="s">
        <v>2754</v>
      </c>
      <c r="Q10" s="708" t="s">
        <v>2823</v>
      </c>
      <c r="R10" s="709" t="s">
        <v>2835</v>
      </c>
      <c r="S10" s="708" t="s">
        <v>2836</v>
      </c>
      <c r="T10" s="712" t="s">
        <v>2837</v>
      </c>
      <c r="U10" s="706" t="n">
        <f aca="false">U9+1</f>
        <v>8</v>
      </c>
      <c r="V10" s="713" t="s">
        <v>2838</v>
      </c>
      <c r="W10" s="714" t="n">
        <v>1</v>
      </c>
      <c r="X10" s="714" t="n">
        <v>1</v>
      </c>
      <c r="Y10" s="715" t="s">
        <v>2839</v>
      </c>
      <c r="Z10" s="714" t="n">
        <v>6</v>
      </c>
      <c r="AA10" s="714" t="s">
        <v>2719</v>
      </c>
      <c r="AB10" s="714" t="s">
        <v>2772</v>
      </c>
      <c r="AC10" s="714" t="s">
        <v>2785</v>
      </c>
      <c r="AD10" s="712" t="s">
        <v>2840</v>
      </c>
      <c r="AE10" s="716" t="n">
        <f aca="false">AE9+1</f>
        <v>8</v>
      </c>
      <c r="AF10" s="720" t="s">
        <v>2841</v>
      </c>
      <c r="AG10" s="714" t="n">
        <v>1</v>
      </c>
      <c r="AH10" s="714" t="n">
        <v>1</v>
      </c>
      <c r="AI10" s="715" t="s">
        <v>2783</v>
      </c>
      <c r="AJ10" s="714" t="s">
        <v>2718</v>
      </c>
      <c r="AK10" s="714" t="s">
        <v>2719</v>
      </c>
      <c r="AL10" s="714" t="s">
        <v>2842</v>
      </c>
      <c r="AM10" s="714" t="s">
        <v>2796</v>
      </c>
      <c r="AN10" s="712" t="s">
        <v>2843</v>
      </c>
      <c r="AO10" s="716" t="n">
        <f aca="false">AO9+1</f>
        <v>8</v>
      </c>
      <c r="AP10" s="713" t="s">
        <v>2838</v>
      </c>
      <c r="AQ10" s="714" t="n">
        <v>1</v>
      </c>
      <c r="AR10" s="714" t="n">
        <v>1</v>
      </c>
      <c r="AS10" s="715" t="s">
        <v>2839</v>
      </c>
      <c r="AT10" s="714" t="n">
        <v>6</v>
      </c>
      <c r="AU10" s="714" t="s">
        <v>2719</v>
      </c>
      <c r="AV10" s="714" t="s">
        <v>2772</v>
      </c>
      <c r="AW10" s="714" t="s">
        <v>2785</v>
      </c>
      <c r="AX10" s="712" t="s">
        <v>2840</v>
      </c>
    </row>
    <row r="11" customFormat="false" ht="12.75" hidden="false" customHeight="false" outlineLevel="0" collapsed="false">
      <c r="A11" s="706" t="n">
        <f aca="false">A10+1</f>
        <v>9</v>
      </c>
      <c r="B11" s="711" t="s">
        <v>2844</v>
      </c>
      <c r="C11" s="708" t="n">
        <v>1</v>
      </c>
      <c r="D11" s="708" t="n">
        <v>1</v>
      </c>
      <c r="E11" s="708" t="s">
        <v>2783</v>
      </c>
      <c r="F11" s="708" t="s">
        <v>2845</v>
      </c>
      <c r="G11" s="708" t="s">
        <v>2749</v>
      </c>
      <c r="H11" s="709" t="s">
        <v>2846</v>
      </c>
      <c r="I11" s="708" t="s">
        <v>2777</v>
      </c>
      <c r="J11" s="712" t="s">
        <v>2847</v>
      </c>
      <c r="K11" s="706" t="n">
        <f aca="false">K10+1</f>
        <v>9</v>
      </c>
      <c r="L11" s="711" t="s">
        <v>2848</v>
      </c>
      <c r="M11" s="708" t="n">
        <v>1</v>
      </c>
      <c r="N11" s="708" t="n">
        <v>1</v>
      </c>
      <c r="O11" s="708" t="s">
        <v>2739</v>
      </c>
      <c r="P11" s="708" t="s">
        <v>2849</v>
      </c>
      <c r="Q11" s="708" t="s">
        <v>2794</v>
      </c>
      <c r="R11" s="709" t="s">
        <v>2850</v>
      </c>
      <c r="S11" s="708" t="s">
        <v>2721</v>
      </c>
      <c r="T11" s="712" t="s">
        <v>2851</v>
      </c>
      <c r="U11" s="706" t="n">
        <f aca="false">U10+1</f>
        <v>9</v>
      </c>
      <c r="V11" s="713" t="s">
        <v>2852</v>
      </c>
      <c r="W11" s="714" t="n">
        <v>1</v>
      </c>
      <c r="X11" s="714" t="n">
        <v>1</v>
      </c>
      <c r="Y11" s="715" t="s">
        <v>2783</v>
      </c>
      <c r="Z11" s="714" t="s">
        <v>2754</v>
      </c>
      <c r="AA11" s="714" t="s">
        <v>2823</v>
      </c>
      <c r="AB11" s="714" t="s">
        <v>2853</v>
      </c>
      <c r="AC11" s="714" t="s">
        <v>2854</v>
      </c>
      <c r="AD11" s="712" t="s">
        <v>2818</v>
      </c>
      <c r="AE11" s="716" t="n">
        <f aca="false">AE10+1</f>
        <v>9</v>
      </c>
      <c r="AF11" s="720" t="s">
        <v>2855</v>
      </c>
      <c r="AG11" s="714" t="n">
        <v>1</v>
      </c>
      <c r="AH11" s="714" t="n">
        <v>0</v>
      </c>
      <c r="AI11" s="715" t="s">
        <v>2724</v>
      </c>
      <c r="AJ11" s="714" t="s">
        <v>2718</v>
      </c>
      <c r="AK11" s="714" t="s">
        <v>2856</v>
      </c>
      <c r="AL11" s="714" t="s">
        <v>2784</v>
      </c>
      <c r="AM11" s="714" t="s">
        <v>2732</v>
      </c>
      <c r="AN11" s="712" t="s">
        <v>2818</v>
      </c>
      <c r="AO11" s="716" t="n">
        <f aca="false">AO10+1</f>
        <v>9</v>
      </c>
      <c r="AP11" s="711" t="s">
        <v>2816</v>
      </c>
      <c r="AQ11" s="708" t="n">
        <v>1</v>
      </c>
      <c r="AR11" s="708" t="n">
        <v>0</v>
      </c>
      <c r="AS11" s="708" t="s">
        <v>2717</v>
      </c>
      <c r="AT11" s="708" t="n">
        <v>6</v>
      </c>
      <c r="AU11" s="708" t="s">
        <v>2749</v>
      </c>
      <c r="AV11" s="709" t="s">
        <v>2817</v>
      </c>
      <c r="AW11" s="708" t="s">
        <v>2721</v>
      </c>
      <c r="AX11" s="712" t="s">
        <v>2818</v>
      </c>
    </row>
    <row r="12" customFormat="false" ht="12.75" hidden="false" customHeight="false" outlineLevel="0" collapsed="false">
      <c r="A12" s="706" t="n">
        <f aca="false">A11+1</f>
        <v>10</v>
      </c>
      <c r="B12" s="711" t="s">
        <v>2857</v>
      </c>
      <c r="C12" s="708" t="n">
        <v>1</v>
      </c>
      <c r="D12" s="708" t="n">
        <v>1</v>
      </c>
      <c r="E12" s="708" t="s">
        <v>2783</v>
      </c>
      <c r="F12" s="708" t="s">
        <v>2845</v>
      </c>
      <c r="G12" s="708" t="s">
        <v>2719</v>
      </c>
      <c r="H12" s="709" t="s">
        <v>2858</v>
      </c>
      <c r="I12" s="708" t="s">
        <v>2777</v>
      </c>
      <c r="J12" s="712" t="s">
        <v>2847</v>
      </c>
      <c r="K12" s="706" t="n">
        <f aca="false">K11+1</f>
        <v>10</v>
      </c>
      <c r="L12" s="711" t="s">
        <v>2859</v>
      </c>
      <c r="M12" s="708" t="n">
        <v>1</v>
      </c>
      <c r="N12" s="708" t="n">
        <v>0</v>
      </c>
      <c r="O12" s="708" t="s">
        <v>2724</v>
      </c>
      <c r="P12" s="708" t="s">
        <v>2718</v>
      </c>
      <c r="Q12" s="708" t="s">
        <v>2719</v>
      </c>
      <c r="R12" s="709" t="s">
        <v>2750</v>
      </c>
      <c r="S12" s="708" t="s">
        <v>2836</v>
      </c>
      <c r="T12" s="712" t="s">
        <v>2860</v>
      </c>
      <c r="U12" s="706" t="n">
        <f aca="false">U11+1</f>
        <v>10</v>
      </c>
      <c r="V12" s="713" t="s">
        <v>2861</v>
      </c>
      <c r="W12" s="714" t="n">
        <v>1</v>
      </c>
      <c r="X12" s="714" t="n">
        <v>0</v>
      </c>
      <c r="Y12" s="715" t="s">
        <v>2862</v>
      </c>
      <c r="Z12" s="714" t="s">
        <v>2754</v>
      </c>
      <c r="AA12" s="714" t="s">
        <v>2802</v>
      </c>
      <c r="AB12" s="714" t="s">
        <v>2863</v>
      </c>
      <c r="AC12" s="714" t="s">
        <v>2732</v>
      </c>
      <c r="AD12" s="712" t="s">
        <v>2864</v>
      </c>
      <c r="AE12" s="716" t="n">
        <f aca="false">AE11+1</f>
        <v>10</v>
      </c>
      <c r="AF12" s="720" t="s">
        <v>2865</v>
      </c>
      <c r="AG12" s="714" t="n">
        <v>1</v>
      </c>
      <c r="AH12" s="714" t="n">
        <v>1</v>
      </c>
      <c r="AI12" s="715" t="s">
        <v>2783</v>
      </c>
      <c r="AJ12" s="714" t="s">
        <v>2718</v>
      </c>
      <c r="AK12" s="714" t="s">
        <v>2866</v>
      </c>
      <c r="AL12" s="714" t="s">
        <v>2867</v>
      </c>
      <c r="AM12" s="714" t="s">
        <v>2721</v>
      </c>
      <c r="AN12" s="712" t="s">
        <v>2868</v>
      </c>
      <c r="AO12" s="716" t="n">
        <f aca="false">AO11+1</f>
        <v>10</v>
      </c>
      <c r="AP12" s="711" t="s">
        <v>2831</v>
      </c>
      <c r="AQ12" s="708" t="n">
        <v>1</v>
      </c>
      <c r="AR12" s="708" t="n">
        <v>0</v>
      </c>
      <c r="AS12" s="708" t="s">
        <v>2724</v>
      </c>
      <c r="AT12" s="708" t="n">
        <v>6</v>
      </c>
      <c r="AU12" s="708" t="s">
        <v>2719</v>
      </c>
      <c r="AV12" s="709" t="s">
        <v>2832</v>
      </c>
      <c r="AW12" s="708" t="s">
        <v>2737</v>
      </c>
      <c r="AX12" s="712" t="s">
        <v>2833</v>
      </c>
    </row>
    <row r="13" customFormat="false" ht="12.75" hidden="false" customHeight="false" outlineLevel="0" collapsed="false">
      <c r="A13" s="706" t="n">
        <f aca="false">A12+1</f>
        <v>11</v>
      </c>
      <c r="B13" s="711" t="s">
        <v>2869</v>
      </c>
      <c r="C13" s="708" t="n">
        <v>1</v>
      </c>
      <c r="D13" s="708" t="n">
        <v>0</v>
      </c>
      <c r="E13" s="708" t="s">
        <v>2724</v>
      </c>
      <c r="F13" s="708" t="s">
        <v>2718</v>
      </c>
      <c r="G13" s="708" t="s">
        <v>2719</v>
      </c>
      <c r="H13" s="709" t="s">
        <v>2870</v>
      </c>
      <c r="I13" s="708" t="s">
        <v>2768</v>
      </c>
      <c r="J13" s="712" t="s">
        <v>2871</v>
      </c>
      <c r="K13" s="706" t="n">
        <f aca="false">K12+1</f>
        <v>11</v>
      </c>
      <c r="L13" s="711" t="s">
        <v>2872</v>
      </c>
      <c r="M13" s="708" t="n">
        <v>1</v>
      </c>
      <c r="N13" s="708" t="n">
        <v>0</v>
      </c>
      <c r="O13" s="708" t="s">
        <v>2724</v>
      </c>
      <c r="P13" s="708" t="s">
        <v>2718</v>
      </c>
      <c r="Q13" s="708" t="s">
        <v>2719</v>
      </c>
      <c r="R13" s="709" t="s">
        <v>2750</v>
      </c>
      <c r="S13" s="708" t="s">
        <v>2751</v>
      </c>
      <c r="T13" s="712" t="s">
        <v>2873</v>
      </c>
      <c r="U13" s="706" t="n">
        <f aca="false">U12+1</f>
        <v>11</v>
      </c>
      <c r="V13" s="713" t="s">
        <v>2874</v>
      </c>
      <c r="W13" s="714" t="n">
        <v>1</v>
      </c>
      <c r="X13" s="714" t="n">
        <v>0</v>
      </c>
      <c r="Y13" s="715" t="s">
        <v>2724</v>
      </c>
      <c r="Z13" s="714" t="s">
        <v>2718</v>
      </c>
      <c r="AA13" s="714" t="s">
        <v>2749</v>
      </c>
      <c r="AB13" s="714" t="s">
        <v>2784</v>
      </c>
      <c r="AC13" s="714" t="s">
        <v>2732</v>
      </c>
      <c r="AD13" s="712" t="s">
        <v>2875</v>
      </c>
      <c r="AE13" s="716" t="n">
        <f aca="false">AE12+1</f>
        <v>11</v>
      </c>
      <c r="AF13" s="720" t="s">
        <v>2876</v>
      </c>
      <c r="AG13" s="714" t="n">
        <v>1</v>
      </c>
      <c r="AH13" s="714" t="n">
        <v>0</v>
      </c>
      <c r="AI13" s="715" t="s">
        <v>2717</v>
      </c>
      <c r="AJ13" s="714" t="s">
        <v>2718</v>
      </c>
      <c r="AK13" s="714" t="s">
        <v>2877</v>
      </c>
      <c r="AL13" s="714" t="s">
        <v>2878</v>
      </c>
      <c r="AM13" s="714" t="s">
        <v>2732</v>
      </c>
      <c r="AN13" s="712" t="s">
        <v>2879</v>
      </c>
      <c r="AO13" s="716" t="n">
        <f aca="false">AO12+1</f>
        <v>11</v>
      </c>
      <c r="AP13" s="711" t="s">
        <v>2844</v>
      </c>
      <c r="AQ13" s="708" t="n">
        <v>1</v>
      </c>
      <c r="AR13" s="708" t="n">
        <v>1</v>
      </c>
      <c r="AS13" s="708" t="s">
        <v>2783</v>
      </c>
      <c r="AT13" s="708" t="s">
        <v>2845</v>
      </c>
      <c r="AU13" s="708" t="s">
        <v>2749</v>
      </c>
      <c r="AV13" s="709" t="s">
        <v>2846</v>
      </c>
      <c r="AW13" s="708" t="s">
        <v>2777</v>
      </c>
      <c r="AX13" s="712" t="s">
        <v>2847</v>
      </c>
    </row>
    <row r="14" customFormat="false" ht="12.75" hidden="false" customHeight="false" outlineLevel="0" collapsed="false">
      <c r="A14" s="706" t="n">
        <f aca="false">A13+1</f>
        <v>12</v>
      </c>
      <c r="B14" s="711" t="s">
        <v>2880</v>
      </c>
      <c r="C14" s="708" t="n">
        <v>1</v>
      </c>
      <c r="D14" s="708" t="n">
        <v>0</v>
      </c>
      <c r="E14" s="708" t="s">
        <v>2724</v>
      </c>
      <c r="F14" s="708" t="s">
        <v>2718</v>
      </c>
      <c r="G14" s="708" t="s">
        <v>2719</v>
      </c>
      <c r="H14" s="709" t="s">
        <v>2881</v>
      </c>
      <c r="I14" s="708" t="s">
        <v>2768</v>
      </c>
      <c r="J14" s="712" t="s">
        <v>2871</v>
      </c>
      <c r="K14" s="706" t="n">
        <f aca="false">K13+1</f>
        <v>12</v>
      </c>
      <c r="L14" s="711" t="s">
        <v>2882</v>
      </c>
      <c r="M14" s="708" t="n">
        <v>1</v>
      </c>
      <c r="N14" s="708" t="n">
        <v>0</v>
      </c>
      <c r="O14" s="708" t="s">
        <v>2779</v>
      </c>
      <c r="P14" s="708" t="s">
        <v>2718</v>
      </c>
      <c r="Q14" s="708" t="s">
        <v>2719</v>
      </c>
      <c r="R14" s="709" t="s">
        <v>2784</v>
      </c>
      <c r="S14" s="708" t="s">
        <v>2780</v>
      </c>
      <c r="T14" s="712" t="s">
        <v>2879</v>
      </c>
      <c r="U14" s="706" t="n">
        <f aca="false">U13+1</f>
        <v>12</v>
      </c>
      <c r="V14" s="713" t="s">
        <v>2883</v>
      </c>
      <c r="W14" s="714" t="n">
        <v>1</v>
      </c>
      <c r="X14" s="714" t="n">
        <v>0</v>
      </c>
      <c r="Y14" s="715" t="s">
        <v>2724</v>
      </c>
      <c r="Z14" s="714" t="s">
        <v>2718</v>
      </c>
      <c r="AA14" s="714" t="s">
        <v>2719</v>
      </c>
      <c r="AB14" s="714" t="s">
        <v>2731</v>
      </c>
      <c r="AC14" s="714" t="s">
        <v>2732</v>
      </c>
      <c r="AD14" s="712" t="s">
        <v>2875</v>
      </c>
      <c r="AE14" s="716" t="n">
        <f aca="false">AE13+1</f>
        <v>12</v>
      </c>
      <c r="AF14" s="720" t="s">
        <v>2884</v>
      </c>
      <c r="AG14" s="714" t="n">
        <v>1</v>
      </c>
      <c r="AH14" s="714" t="n">
        <v>1</v>
      </c>
      <c r="AI14" s="715" t="s">
        <v>2739</v>
      </c>
      <c r="AJ14" s="714" t="s">
        <v>2718</v>
      </c>
      <c r="AK14" s="714" t="s">
        <v>2719</v>
      </c>
      <c r="AL14" s="714" t="s">
        <v>2772</v>
      </c>
      <c r="AM14" s="714" t="s">
        <v>2796</v>
      </c>
      <c r="AN14" s="712" t="s">
        <v>2885</v>
      </c>
      <c r="AO14" s="716" t="n">
        <f aca="false">AO13+1</f>
        <v>12</v>
      </c>
      <c r="AP14" s="711" t="s">
        <v>2857</v>
      </c>
      <c r="AQ14" s="708" t="n">
        <v>1</v>
      </c>
      <c r="AR14" s="708" t="n">
        <v>1</v>
      </c>
      <c r="AS14" s="708" t="s">
        <v>2783</v>
      </c>
      <c r="AT14" s="708" t="s">
        <v>2845</v>
      </c>
      <c r="AU14" s="708" t="s">
        <v>2719</v>
      </c>
      <c r="AV14" s="709" t="s">
        <v>2858</v>
      </c>
      <c r="AW14" s="708" t="s">
        <v>2777</v>
      </c>
      <c r="AX14" s="712" t="s">
        <v>2847</v>
      </c>
    </row>
    <row r="15" customFormat="false" ht="12.75" hidden="false" customHeight="false" outlineLevel="0" collapsed="false">
      <c r="A15" s="706" t="n">
        <f aca="false">A14+1</f>
        <v>13</v>
      </c>
      <c r="B15" s="707" t="s">
        <v>2886</v>
      </c>
      <c r="C15" s="213" t="n">
        <v>2</v>
      </c>
      <c r="D15" s="213" t="n">
        <v>1</v>
      </c>
      <c r="E15" s="213" t="s">
        <v>2887</v>
      </c>
      <c r="F15" s="213" t="n">
        <v>6</v>
      </c>
      <c r="G15" s="213" t="s">
        <v>2719</v>
      </c>
      <c r="H15" s="212" t="s">
        <v>2888</v>
      </c>
      <c r="I15" s="213" t="s">
        <v>2889</v>
      </c>
      <c r="J15" s="710" t="s">
        <v>2722</v>
      </c>
      <c r="K15" s="706" t="n">
        <f aca="false">K14+1</f>
        <v>13</v>
      </c>
      <c r="L15" s="711" t="s">
        <v>2890</v>
      </c>
      <c r="M15" s="708" t="n">
        <v>1</v>
      </c>
      <c r="N15" s="708" t="n">
        <v>0</v>
      </c>
      <c r="O15" s="708" t="s">
        <v>2724</v>
      </c>
      <c r="P15" s="708" t="s">
        <v>2718</v>
      </c>
      <c r="Q15" s="708" t="s">
        <v>2891</v>
      </c>
      <c r="R15" s="709" t="s">
        <v>2892</v>
      </c>
      <c r="S15" s="708" t="s">
        <v>2893</v>
      </c>
      <c r="T15" s="712" t="s">
        <v>2894</v>
      </c>
      <c r="U15" s="706" t="n">
        <f aca="false">U14+1</f>
        <v>13</v>
      </c>
      <c r="V15" s="713" t="s">
        <v>2895</v>
      </c>
      <c r="W15" s="714" t="n">
        <v>1</v>
      </c>
      <c r="X15" s="714" t="n">
        <v>0</v>
      </c>
      <c r="Y15" s="715" t="s">
        <v>2724</v>
      </c>
      <c r="Z15" s="714" t="s">
        <v>2718</v>
      </c>
      <c r="AA15" s="714" t="s">
        <v>2794</v>
      </c>
      <c r="AB15" s="714" t="s">
        <v>2750</v>
      </c>
      <c r="AC15" s="714" t="s">
        <v>2751</v>
      </c>
      <c r="AD15" s="712" t="s">
        <v>2894</v>
      </c>
      <c r="AE15" s="716" t="n">
        <f aca="false">AE14+1</f>
        <v>13</v>
      </c>
      <c r="AF15" s="717" t="s">
        <v>2896</v>
      </c>
      <c r="AG15" s="718" t="n">
        <v>2</v>
      </c>
      <c r="AH15" s="718" t="n">
        <v>1</v>
      </c>
      <c r="AI15" s="719" t="s">
        <v>2897</v>
      </c>
      <c r="AJ15" s="718" t="s">
        <v>2718</v>
      </c>
      <c r="AK15" s="718" t="s">
        <v>2749</v>
      </c>
      <c r="AL15" s="718" t="s">
        <v>2898</v>
      </c>
      <c r="AM15" s="718" t="s">
        <v>2785</v>
      </c>
      <c r="AN15" s="710" t="s">
        <v>2899</v>
      </c>
      <c r="AO15" s="716" t="n">
        <f aca="false">AO14+1</f>
        <v>13</v>
      </c>
      <c r="AP15" s="720" t="s">
        <v>2900</v>
      </c>
      <c r="AQ15" s="714" t="n">
        <v>1</v>
      </c>
      <c r="AR15" s="714" t="n">
        <v>2</v>
      </c>
      <c r="AS15" s="715" t="s">
        <v>2901</v>
      </c>
      <c r="AT15" s="714" t="s">
        <v>2718</v>
      </c>
      <c r="AU15" s="714" t="s">
        <v>2719</v>
      </c>
      <c r="AV15" s="714" t="s">
        <v>2750</v>
      </c>
      <c r="AW15" s="714" t="s">
        <v>2902</v>
      </c>
      <c r="AX15" s="712" t="s">
        <v>2864</v>
      </c>
    </row>
    <row r="16" customFormat="false" ht="12.75" hidden="false" customHeight="false" outlineLevel="0" collapsed="false">
      <c r="A16" s="706" t="n">
        <f aca="false">A15+1</f>
        <v>14</v>
      </c>
      <c r="B16" s="711" t="s">
        <v>2903</v>
      </c>
      <c r="C16" s="708" t="n">
        <v>2</v>
      </c>
      <c r="D16" s="708" t="n">
        <v>1</v>
      </c>
      <c r="E16" s="708" t="s">
        <v>2739</v>
      </c>
      <c r="F16" s="708" t="s">
        <v>2718</v>
      </c>
      <c r="G16" s="708" t="s">
        <v>2719</v>
      </c>
      <c r="H16" s="709" t="s">
        <v>2772</v>
      </c>
      <c r="I16" s="708" t="s">
        <v>2785</v>
      </c>
      <c r="J16" s="712" t="s">
        <v>2746</v>
      </c>
      <c r="K16" s="706" t="n">
        <f aca="false">K15+1</f>
        <v>14</v>
      </c>
      <c r="L16" s="707" t="s">
        <v>2904</v>
      </c>
      <c r="M16" s="213" t="n">
        <v>2</v>
      </c>
      <c r="N16" s="213" t="n">
        <v>1</v>
      </c>
      <c r="O16" s="213" t="s">
        <v>2905</v>
      </c>
      <c r="P16" s="213" t="s">
        <v>2718</v>
      </c>
      <c r="Q16" s="213" t="s">
        <v>2749</v>
      </c>
      <c r="R16" s="212" t="s">
        <v>2906</v>
      </c>
      <c r="S16" s="213" t="s">
        <v>2721</v>
      </c>
      <c r="T16" s="710" t="s">
        <v>2781</v>
      </c>
      <c r="U16" s="706" t="n">
        <f aca="false">U15+1</f>
        <v>14</v>
      </c>
      <c r="V16" s="721" t="s">
        <v>2907</v>
      </c>
      <c r="W16" s="718" t="n">
        <v>2</v>
      </c>
      <c r="X16" s="718" t="s">
        <v>2908</v>
      </c>
      <c r="Y16" s="719" t="s">
        <v>2909</v>
      </c>
      <c r="Z16" s="718" t="n">
        <v>9</v>
      </c>
      <c r="AA16" s="718" t="s">
        <v>2719</v>
      </c>
      <c r="AB16" s="718" t="s">
        <v>2772</v>
      </c>
      <c r="AC16" s="718" t="s">
        <v>2910</v>
      </c>
      <c r="AD16" s="710" t="s">
        <v>2752</v>
      </c>
      <c r="AE16" s="716" t="n">
        <f aca="false">AE15+1</f>
        <v>14</v>
      </c>
      <c r="AF16" s="720" t="s">
        <v>2911</v>
      </c>
      <c r="AG16" s="714" t="n">
        <v>2</v>
      </c>
      <c r="AH16" s="714" t="n">
        <v>0</v>
      </c>
      <c r="AI16" s="715" t="s">
        <v>2724</v>
      </c>
      <c r="AJ16" s="714" t="s">
        <v>2718</v>
      </c>
      <c r="AK16" s="714" t="s">
        <v>2912</v>
      </c>
      <c r="AL16" s="714" t="s">
        <v>2913</v>
      </c>
      <c r="AM16" s="714" t="s">
        <v>2821</v>
      </c>
      <c r="AN16" s="712" t="s">
        <v>2733</v>
      </c>
      <c r="AO16" s="716" t="n">
        <f aca="false">AO15+1</f>
        <v>14</v>
      </c>
      <c r="AP16" s="722" t="s">
        <v>2869</v>
      </c>
      <c r="AQ16" s="723" t="n">
        <v>1</v>
      </c>
      <c r="AR16" s="723" t="n">
        <v>0</v>
      </c>
      <c r="AS16" s="723" t="s">
        <v>2724</v>
      </c>
      <c r="AT16" s="723" t="s">
        <v>2718</v>
      </c>
      <c r="AU16" s="723" t="s">
        <v>2719</v>
      </c>
      <c r="AV16" s="724" t="s">
        <v>2870</v>
      </c>
      <c r="AW16" s="723" t="s">
        <v>2768</v>
      </c>
      <c r="AX16" s="725" t="s">
        <v>2871</v>
      </c>
    </row>
    <row r="17" customFormat="false" ht="12.75" hidden="false" customHeight="false" outlineLevel="0" collapsed="false">
      <c r="A17" s="706" t="n">
        <f aca="false">A16+1</f>
        <v>15</v>
      </c>
      <c r="B17" s="711" t="s">
        <v>2914</v>
      </c>
      <c r="C17" s="708" t="n">
        <v>2</v>
      </c>
      <c r="D17" s="708" t="n">
        <v>2</v>
      </c>
      <c r="E17" s="708" t="s">
        <v>2915</v>
      </c>
      <c r="F17" s="708" t="n">
        <v>6</v>
      </c>
      <c r="G17" s="708" t="s">
        <v>2719</v>
      </c>
      <c r="H17" s="709" t="s">
        <v>2916</v>
      </c>
      <c r="I17" s="708" t="s">
        <v>2785</v>
      </c>
      <c r="J17" s="712" t="s">
        <v>2917</v>
      </c>
      <c r="K17" s="706" t="n">
        <f aca="false">K16+1</f>
        <v>15</v>
      </c>
      <c r="L17" s="711" t="s">
        <v>2918</v>
      </c>
      <c r="M17" s="708" t="n">
        <v>2</v>
      </c>
      <c r="N17" s="708" t="n">
        <v>1</v>
      </c>
      <c r="O17" s="708" t="s">
        <v>2739</v>
      </c>
      <c r="P17" s="708" t="s">
        <v>2718</v>
      </c>
      <c r="Q17" s="708" t="s">
        <v>2827</v>
      </c>
      <c r="R17" s="709" t="s">
        <v>2772</v>
      </c>
      <c r="S17" s="708" t="s">
        <v>2757</v>
      </c>
      <c r="T17" s="712" t="s">
        <v>2741</v>
      </c>
      <c r="U17" s="706" t="n">
        <f aca="false">U16+1</f>
        <v>15</v>
      </c>
      <c r="V17" s="713" t="s">
        <v>2919</v>
      </c>
      <c r="W17" s="714" t="n">
        <v>2</v>
      </c>
      <c r="X17" s="714" t="n">
        <v>2</v>
      </c>
      <c r="Y17" s="715" t="s">
        <v>2735</v>
      </c>
      <c r="Z17" s="714" t="n">
        <v>6</v>
      </c>
      <c r="AA17" s="714" t="s">
        <v>2755</v>
      </c>
      <c r="AB17" s="714" t="s">
        <v>2731</v>
      </c>
      <c r="AC17" s="714" t="s">
        <v>2737</v>
      </c>
      <c r="AD17" s="712" t="s">
        <v>2800</v>
      </c>
      <c r="AE17" s="716" t="n">
        <f aca="false">AE16+1</f>
        <v>15</v>
      </c>
      <c r="AF17" s="720" t="s">
        <v>2920</v>
      </c>
      <c r="AG17" s="714" t="n">
        <v>2</v>
      </c>
      <c r="AH17" s="714" t="n">
        <v>2</v>
      </c>
      <c r="AI17" s="715" t="s">
        <v>2783</v>
      </c>
      <c r="AJ17" s="714" t="s">
        <v>2718</v>
      </c>
      <c r="AK17" s="714" t="s">
        <v>2719</v>
      </c>
      <c r="AL17" s="714" t="s">
        <v>2750</v>
      </c>
      <c r="AM17" s="714" t="s">
        <v>2921</v>
      </c>
      <c r="AN17" s="712" t="s">
        <v>2922</v>
      </c>
      <c r="AO17" s="716" t="n">
        <f aca="false">AO16+1</f>
        <v>15</v>
      </c>
      <c r="AP17" s="713" t="s">
        <v>2923</v>
      </c>
      <c r="AQ17" s="714" t="n">
        <v>2</v>
      </c>
      <c r="AR17" s="714" t="n">
        <v>1</v>
      </c>
      <c r="AS17" s="715" t="s">
        <v>2739</v>
      </c>
      <c r="AT17" s="714" t="s">
        <v>2754</v>
      </c>
      <c r="AU17" s="714" t="s">
        <v>2776</v>
      </c>
      <c r="AV17" s="714" t="s">
        <v>2924</v>
      </c>
      <c r="AW17" s="714" t="s">
        <v>2780</v>
      </c>
      <c r="AX17" s="712" t="s">
        <v>2837</v>
      </c>
    </row>
    <row r="18" customFormat="false" ht="12.75" hidden="false" customHeight="false" outlineLevel="0" collapsed="false">
      <c r="A18" s="706" t="n">
        <f aca="false">A17+1</f>
        <v>16</v>
      </c>
      <c r="B18" s="711" t="s">
        <v>2925</v>
      </c>
      <c r="C18" s="708" t="n">
        <v>2</v>
      </c>
      <c r="D18" s="708" t="n">
        <v>2</v>
      </c>
      <c r="E18" s="708" t="s">
        <v>2735</v>
      </c>
      <c r="F18" s="708" t="n">
        <v>6</v>
      </c>
      <c r="G18" s="708" t="s">
        <v>2755</v>
      </c>
      <c r="H18" s="709" t="s">
        <v>2926</v>
      </c>
      <c r="I18" s="708" t="s">
        <v>2737</v>
      </c>
      <c r="J18" s="712" t="s">
        <v>2800</v>
      </c>
      <c r="K18" s="706" t="n">
        <f aca="false">K17+1</f>
        <v>16</v>
      </c>
      <c r="L18" s="711" t="s">
        <v>2927</v>
      </c>
      <c r="M18" s="708" t="n">
        <v>2</v>
      </c>
      <c r="N18" s="708" t="n">
        <v>1</v>
      </c>
      <c r="O18" s="708" t="s">
        <v>2928</v>
      </c>
      <c r="P18" s="708" t="s">
        <v>2718</v>
      </c>
      <c r="Q18" s="708" t="s">
        <v>2749</v>
      </c>
      <c r="R18" s="709" t="s">
        <v>2731</v>
      </c>
      <c r="S18" s="708" t="s">
        <v>2854</v>
      </c>
      <c r="T18" s="712" t="s">
        <v>2789</v>
      </c>
      <c r="U18" s="706" t="n">
        <f aca="false">U17+1</f>
        <v>16</v>
      </c>
      <c r="V18" s="713" t="s">
        <v>2929</v>
      </c>
      <c r="W18" s="714" t="n">
        <v>2</v>
      </c>
      <c r="X18" s="714" t="n">
        <v>1</v>
      </c>
      <c r="Y18" s="715" t="s">
        <v>2771</v>
      </c>
      <c r="Z18" s="714" t="s">
        <v>2754</v>
      </c>
      <c r="AA18" s="714" t="s">
        <v>2719</v>
      </c>
      <c r="AB18" s="714" t="s">
        <v>2930</v>
      </c>
      <c r="AC18" s="714" t="s">
        <v>2931</v>
      </c>
      <c r="AD18" s="712" t="s">
        <v>2932</v>
      </c>
      <c r="AE18" s="716" t="n">
        <f aca="false">AE17+1</f>
        <v>16</v>
      </c>
      <c r="AF18" s="720" t="s">
        <v>2933</v>
      </c>
      <c r="AG18" s="714" t="n">
        <v>2</v>
      </c>
      <c r="AH18" s="714" t="n">
        <v>0</v>
      </c>
      <c r="AI18" s="715" t="s">
        <v>2934</v>
      </c>
      <c r="AJ18" s="714" t="s">
        <v>2718</v>
      </c>
      <c r="AK18" s="714" t="s">
        <v>2719</v>
      </c>
      <c r="AL18" s="714" t="s">
        <v>2935</v>
      </c>
      <c r="AM18" s="714" t="s">
        <v>2854</v>
      </c>
      <c r="AN18" s="712" t="s">
        <v>2803</v>
      </c>
      <c r="AO18" s="716" t="n">
        <f aca="false">AO17+1</f>
        <v>16</v>
      </c>
      <c r="AP18" s="711" t="s">
        <v>2936</v>
      </c>
      <c r="AQ18" s="708" t="n">
        <v>2</v>
      </c>
      <c r="AR18" s="708" t="n">
        <v>2</v>
      </c>
      <c r="AS18" s="708" t="s">
        <v>2937</v>
      </c>
      <c r="AT18" s="708" t="s">
        <v>2718</v>
      </c>
      <c r="AU18" s="708" t="s">
        <v>2719</v>
      </c>
      <c r="AV18" s="709" t="s">
        <v>2938</v>
      </c>
      <c r="AW18" s="708" t="s">
        <v>2737</v>
      </c>
      <c r="AX18" s="712" t="s">
        <v>2939</v>
      </c>
    </row>
    <row r="19" customFormat="false" ht="12.75" hidden="false" customHeight="false" outlineLevel="0" collapsed="false">
      <c r="A19" s="706" t="n">
        <f aca="false">A18+1</f>
        <v>17</v>
      </c>
      <c r="B19" s="711" t="s">
        <v>2940</v>
      </c>
      <c r="C19" s="708" t="n">
        <v>2</v>
      </c>
      <c r="D19" s="708" t="n">
        <v>0</v>
      </c>
      <c r="E19" s="708" t="s">
        <v>2826</v>
      </c>
      <c r="F19" s="708" t="s">
        <v>2718</v>
      </c>
      <c r="G19" s="708" t="s">
        <v>2776</v>
      </c>
      <c r="H19" s="709" t="s">
        <v>2731</v>
      </c>
      <c r="I19" s="708" t="s">
        <v>2777</v>
      </c>
      <c r="J19" s="712" t="s">
        <v>2815</v>
      </c>
      <c r="K19" s="706" t="n">
        <f aca="false">K18+1</f>
        <v>17</v>
      </c>
      <c r="L19" s="711" t="s">
        <v>2122</v>
      </c>
      <c r="M19" s="708" t="n">
        <v>2</v>
      </c>
      <c r="N19" s="708" t="n">
        <v>0</v>
      </c>
      <c r="O19" s="708" t="s">
        <v>2826</v>
      </c>
      <c r="P19" s="708" t="s">
        <v>2754</v>
      </c>
      <c r="Q19" s="708" t="s">
        <v>2719</v>
      </c>
      <c r="R19" s="709" t="s">
        <v>2750</v>
      </c>
      <c r="S19" s="708" t="s">
        <v>2941</v>
      </c>
      <c r="T19" s="712" t="s">
        <v>2942</v>
      </c>
      <c r="U19" s="706" t="n">
        <f aca="false">U18+1</f>
        <v>17</v>
      </c>
      <c r="V19" s="713" t="s">
        <v>2943</v>
      </c>
      <c r="W19" s="714" t="n">
        <v>2</v>
      </c>
      <c r="X19" s="714" t="n">
        <v>2</v>
      </c>
      <c r="Y19" s="715" t="s">
        <v>2766</v>
      </c>
      <c r="Z19" s="714" t="s">
        <v>2754</v>
      </c>
      <c r="AA19" s="714" t="s">
        <v>2749</v>
      </c>
      <c r="AB19" s="714" t="s">
        <v>2944</v>
      </c>
      <c r="AC19" s="714" t="s">
        <v>2751</v>
      </c>
      <c r="AD19" s="712" t="s">
        <v>2797</v>
      </c>
      <c r="AE19" s="716" t="n">
        <f aca="false">AE18+1</f>
        <v>17</v>
      </c>
      <c r="AF19" s="720" t="s">
        <v>2945</v>
      </c>
      <c r="AG19" s="714" t="n">
        <v>2</v>
      </c>
      <c r="AH19" s="714" t="n">
        <v>2</v>
      </c>
      <c r="AI19" s="715" t="s">
        <v>2739</v>
      </c>
      <c r="AJ19" s="714" t="n">
        <v>6</v>
      </c>
      <c r="AK19" s="714" t="s">
        <v>2946</v>
      </c>
      <c r="AL19" s="714" t="s">
        <v>2947</v>
      </c>
      <c r="AM19" s="714" t="s">
        <v>2757</v>
      </c>
      <c r="AN19" s="712" t="s">
        <v>2948</v>
      </c>
      <c r="AO19" s="716" t="n">
        <f aca="false">AO18+1</f>
        <v>17</v>
      </c>
      <c r="AP19" s="711" t="s">
        <v>2949</v>
      </c>
      <c r="AQ19" s="708" t="n">
        <v>2</v>
      </c>
      <c r="AR19" s="708" t="n">
        <v>0</v>
      </c>
      <c r="AS19" s="708" t="s">
        <v>2950</v>
      </c>
      <c r="AT19" s="708" t="s">
        <v>2718</v>
      </c>
      <c r="AU19" s="708" t="s">
        <v>2736</v>
      </c>
      <c r="AV19" s="709" t="s">
        <v>2772</v>
      </c>
      <c r="AW19" s="708" t="s">
        <v>2785</v>
      </c>
      <c r="AX19" s="712" t="s">
        <v>2951</v>
      </c>
    </row>
    <row r="20" customFormat="false" ht="12.75" hidden="false" customHeight="false" outlineLevel="0" collapsed="false">
      <c r="A20" s="706" t="n">
        <f aca="false">A19+1</f>
        <v>18</v>
      </c>
      <c r="B20" s="711" t="s">
        <v>2936</v>
      </c>
      <c r="C20" s="708" t="n">
        <v>2</v>
      </c>
      <c r="D20" s="708" t="n">
        <v>2</v>
      </c>
      <c r="E20" s="708" t="s">
        <v>2937</v>
      </c>
      <c r="F20" s="708" t="s">
        <v>2718</v>
      </c>
      <c r="G20" s="708" t="s">
        <v>2719</v>
      </c>
      <c r="H20" s="709" t="s">
        <v>2938</v>
      </c>
      <c r="I20" s="708" t="s">
        <v>2737</v>
      </c>
      <c r="J20" s="712" t="s">
        <v>2939</v>
      </c>
      <c r="K20" s="706" t="n">
        <f aca="false">K19+1</f>
        <v>18</v>
      </c>
      <c r="L20" s="711" t="s">
        <v>2952</v>
      </c>
      <c r="M20" s="708" t="n">
        <v>2</v>
      </c>
      <c r="N20" s="708" t="n">
        <v>0</v>
      </c>
      <c r="O20" s="708" t="s">
        <v>2862</v>
      </c>
      <c r="P20" s="708" t="s">
        <v>2718</v>
      </c>
      <c r="Q20" s="708" t="s">
        <v>2802</v>
      </c>
      <c r="R20" s="709" t="s">
        <v>2759</v>
      </c>
      <c r="S20" s="708" t="s">
        <v>2732</v>
      </c>
      <c r="T20" s="712" t="s">
        <v>2932</v>
      </c>
      <c r="U20" s="706" t="n">
        <f aca="false">U19+1</f>
        <v>18</v>
      </c>
      <c r="V20" s="713" t="s">
        <v>2923</v>
      </c>
      <c r="W20" s="714" t="n">
        <v>2</v>
      </c>
      <c r="X20" s="714" t="n">
        <v>1</v>
      </c>
      <c r="Y20" s="715" t="s">
        <v>2739</v>
      </c>
      <c r="Z20" s="714" t="s">
        <v>2754</v>
      </c>
      <c r="AA20" s="714" t="s">
        <v>2776</v>
      </c>
      <c r="AB20" s="714" t="s">
        <v>2924</v>
      </c>
      <c r="AC20" s="714" t="s">
        <v>2780</v>
      </c>
      <c r="AD20" s="712" t="s">
        <v>2837</v>
      </c>
      <c r="AE20" s="716" t="n">
        <f aca="false">AE19+1</f>
        <v>18</v>
      </c>
      <c r="AF20" s="720" t="s">
        <v>2953</v>
      </c>
      <c r="AG20" s="714" t="n">
        <v>2</v>
      </c>
      <c r="AH20" s="714" t="n">
        <v>1</v>
      </c>
      <c r="AI20" s="715" t="s">
        <v>2954</v>
      </c>
      <c r="AJ20" s="714" t="n">
        <v>6</v>
      </c>
      <c r="AK20" s="714" t="s">
        <v>2823</v>
      </c>
      <c r="AL20" s="714" t="s">
        <v>2731</v>
      </c>
      <c r="AM20" s="714" t="s">
        <v>2764</v>
      </c>
      <c r="AN20" s="712" t="s">
        <v>2948</v>
      </c>
      <c r="AO20" s="716" t="n">
        <f aca="false">AO19+1</f>
        <v>18</v>
      </c>
      <c r="AP20" s="711" t="s">
        <v>2955</v>
      </c>
      <c r="AQ20" s="708" t="n">
        <v>2</v>
      </c>
      <c r="AR20" s="708" t="n">
        <v>0</v>
      </c>
      <c r="AS20" s="708" t="s">
        <v>2934</v>
      </c>
      <c r="AT20" s="708" t="n">
        <v>6</v>
      </c>
      <c r="AU20" s="708" t="s">
        <v>2719</v>
      </c>
      <c r="AV20" s="709" t="s">
        <v>2956</v>
      </c>
      <c r="AW20" s="708" t="s">
        <v>2785</v>
      </c>
      <c r="AX20" s="712" t="s">
        <v>2830</v>
      </c>
    </row>
    <row r="21" customFormat="false" ht="12.75" hidden="false" customHeight="false" outlineLevel="0" collapsed="false">
      <c r="A21" s="706" t="n">
        <f aca="false">A20+1</f>
        <v>19</v>
      </c>
      <c r="B21" s="711" t="s">
        <v>2949</v>
      </c>
      <c r="C21" s="708" t="n">
        <v>2</v>
      </c>
      <c r="D21" s="708" t="n">
        <v>0</v>
      </c>
      <c r="E21" s="708" t="s">
        <v>2950</v>
      </c>
      <c r="F21" s="708" t="s">
        <v>2718</v>
      </c>
      <c r="G21" s="708" t="s">
        <v>2736</v>
      </c>
      <c r="H21" s="709" t="s">
        <v>2772</v>
      </c>
      <c r="I21" s="708" t="s">
        <v>2785</v>
      </c>
      <c r="J21" s="712" t="s">
        <v>2951</v>
      </c>
      <c r="K21" s="706" t="n">
        <f aca="false">K20+1</f>
        <v>19</v>
      </c>
      <c r="L21" s="711" t="s">
        <v>2957</v>
      </c>
      <c r="M21" s="708" t="n">
        <v>2</v>
      </c>
      <c r="N21" s="708" t="n">
        <v>2</v>
      </c>
      <c r="O21" s="726" t="s">
        <v>2739</v>
      </c>
      <c r="P21" s="708" t="n">
        <v>6</v>
      </c>
      <c r="Q21" s="708" t="s">
        <v>2719</v>
      </c>
      <c r="R21" s="709" t="s">
        <v>2750</v>
      </c>
      <c r="S21" s="708" t="s">
        <v>2958</v>
      </c>
      <c r="T21" s="712" t="s">
        <v>2840</v>
      </c>
      <c r="U21" s="706" t="n">
        <f aca="false">U20+1</f>
        <v>19</v>
      </c>
      <c r="V21" s="713" t="s">
        <v>2959</v>
      </c>
      <c r="W21" s="714" t="n">
        <v>2</v>
      </c>
      <c r="X21" s="714" t="n">
        <v>2</v>
      </c>
      <c r="Y21" s="715" t="s">
        <v>2766</v>
      </c>
      <c r="Z21" s="714" t="s">
        <v>2960</v>
      </c>
      <c r="AA21" s="714" t="s">
        <v>2719</v>
      </c>
      <c r="AB21" s="714" t="s">
        <v>2772</v>
      </c>
      <c r="AC21" s="714" t="s">
        <v>2785</v>
      </c>
      <c r="AD21" s="712" t="s">
        <v>2851</v>
      </c>
      <c r="AE21" s="716" t="n">
        <f aca="false">AE20+1</f>
        <v>19</v>
      </c>
      <c r="AF21" s="720" t="s">
        <v>2961</v>
      </c>
      <c r="AG21" s="714" t="n">
        <v>2</v>
      </c>
      <c r="AH21" s="714" t="n">
        <v>1</v>
      </c>
      <c r="AI21" s="715" t="s">
        <v>2766</v>
      </c>
      <c r="AJ21" s="714" t="s">
        <v>2718</v>
      </c>
      <c r="AK21" s="714" t="s">
        <v>2823</v>
      </c>
      <c r="AL21" s="714" t="s">
        <v>2750</v>
      </c>
      <c r="AM21" s="714" t="s">
        <v>2751</v>
      </c>
      <c r="AN21" s="712" t="s">
        <v>2962</v>
      </c>
      <c r="AO21" s="716" t="n">
        <f aca="false">AO20+1</f>
        <v>19</v>
      </c>
      <c r="AP21" s="711" t="s">
        <v>2963</v>
      </c>
      <c r="AQ21" s="708" t="n">
        <v>2</v>
      </c>
      <c r="AR21" s="708" t="n">
        <v>2</v>
      </c>
      <c r="AS21" s="708" t="s">
        <v>2809</v>
      </c>
      <c r="AT21" s="708" t="s">
        <v>2718</v>
      </c>
      <c r="AU21" s="708" t="s">
        <v>2744</v>
      </c>
      <c r="AV21" s="709" t="s">
        <v>2964</v>
      </c>
      <c r="AW21" s="708" t="s">
        <v>2965</v>
      </c>
      <c r="AX21" s="712" t="s">
        <v>2860</v>
      </c>
    </row>
    <row r="22" customFormat="false" ht="12.75" hidden="false" customHeight="false" outlineLevel="0" collapsed="false">
      <c r="A22" s="706" t="n">
        <f aca="false">A21+1</f>
        <v>20</v>
      </c>
      <c r="B22" s="711" t="s">
        <v>2966</v>
      </c>
      <c r="C22" s="708" t="n">
        <v>2</v>
      </c>
      <c r="D22" s="708" t="n">
        <v>1</v>
      </c>
      <c r="E22" s="726" t="s">
        <v>2809</v>
      </c>
      <c r="F22" s="708" t="s">
        <v>2718</v>
      </c>
      <c r="G22" s="708" t="s">
        <v>2730</v>
      </c>
      <c r="H22" s="709" t="s">
        <v>2967</v>
      </c>
      <c r="I22" s="708" t="s">
        <v>2777</v>
      </c>
      <c r="J22" s="712" t="s">
        <v>2951</v>
      </c>
      <c r="K22" s="706" t="n">
        <f aca="false">K21+1</f>
        <v>20</v>
      </c>
      <c r="L22" s="711" t="s">
        <v>2968</v>
      </c>
      <c r="M22" s="708" t="n">
        <v>2</v>
      </c>
      <c r="N22" s="708" t="n">
        <v>1</v>
      </c>
      <c r="O22" s="708" t="s">
        <v>2739</v>
      </c>
      <c r="P22" s="708" t="s">
        <v>2718</v>
      </c>
      <c r="Q22" s="708" t="s">
        <v>2719</v>
      </c>
      <c r="R22" s="709" t="s">
        <v>2969</v>
      </c>
      <c r="S22" s="708" t="s">
        <v>2726</v>
      </c>
      <c r="T22" s="712" t="s">
        <v>2840</v>
      </c>
      <c r="U22" s="706" t="n">
        <f aca="false">U21+1</f>
        <v>20</v>
      </c>
      <c r="V22" s="713" t="s">
        <v>2970</v>
      </c>
      <c r="W22" s="714" t="n">
        <v>2</v>
      </c>
      <c r="X22" s="714" t="n">
        <v>3</v>
      </c>
      <c r="Y22" s="715" t="s">
        <v>2915</v>
      </c>
      <c r="Z22" s="714" t="s">
        <v>2754</v>
      </c>
      <c r="AA22" s="714" t="s">
        <v>2755</v>
      </c>
      <c r="AB22" s="714" t="s">
        <v>2971</v>
      </c>
      <c r="AC22" s="714" t="s">
        <v>2958</v>
      </c>
      <c r="AD22" s="712" t="s">
        <v>2833</v>
      </c>
      <c r="AE22" s="716" t="n">
        <f aca="false">AE21+1</f>
        <v>20</v>
      </c>
      <c r="AF22" s="720" t="s">
        <v>2972</v>
      </c>
      <c r="AG22" s="714" t="n">
        <v>2</v>
      </c>
      <c r="AH22" s="714" t="n">
        <v>4</v>
      </c>
      <c r="AI22" s="715" t="s">
        <v>2766</v>
      </c>
      <c r="AJ22" s="714" t="s">
        <v>2718</v>
      </c>
      <c r="AK22" s="714" t="s">
        <v>2719</v>
      </c>
      <c r="AL22" s="714" t="s">
        <v>2973</v>
      </c>
      <c r="AM22" s="714" t="s">
        <v>2974</v>
      </c>
      <c r="AN22" s="712" t="s">
        <v>2962</v>
      </c>
      <c r="AO22" s="716" t="n">
        <f aca="false">AO21+1</f>
        <v>20</v>
      </c>
      <c r="AP22" s="711" t="s">
        <v>2975</v>
      </c>
      <c r="AQ22" s="708" t="n">
        <v>2</v>
      </c>
      <c r="AR22" s="708" t="n">
        <v>1</v>
      </c>
      <c r="AS22" s="708" t="s">
        <v>2739</v>
      </c>
      <c r="AT22" s="708" t="s">
        <v>2754</v>
      </c>
      <c r="AU22" s="708" t="s">
        <v>2794</v>
      </c>
      <c r="AV22" s="709" t="s">
        <v>2976</v>
      </c>
      <c r="AW22" s="708" t="s">
        <v>2785</v>
      </c>
      <c r="AX22" s="712" t="s">
        <v>2868</v>
      </c>
    </row>
    <row r="23" customFormat="false" ht="12.75" hidden="false" customHeight="false" outlineLevel="0" collapsed="false">
      <c r="A23" s="706" t="n">
        <f aca="false">A22+1</f>
        <v>21</v>
      </c>
      <c r="B23" s="711" t="s">
        <v>2955</v>
      </c>
      <c r="C23" s="708" t="n">
        <v>2</v>
      </c>
      <c r="D23" s="708" t="n">
        <v>0</v>
      </c>
      <c r="E23" s="708" t="s">
        <v>2934</v>
      </c>
      <c r="F23" s="708" t="n">
        <v>6</v>
      </c>
      <c r="G23" s="708" t="s">
        <v>2719</v>
      </c>
      <c r="H23" s="709" t="s">
        <v>2956</v>
      </c>
      <c r="I23" s="708" t="s">
        <v>2785</v>
      </c>
      <c r="J23" s="712" t="s">
        <v>2830</v>
      </c>
      <c r="K23" s="706" t="n">
        <f aca="false">K22+1</f>
        <v>21</v>
      </c>
      <c r="L23" s="711" t="s">
        <v>2977</v>
      </c>
      <c r="M23" s="708" t="n">
        <v>2</v>
      </c>
      <c r="N23" s="708" t="n">
        <v>2</v>
      </c>
      <c r="O23" s="708" t="s">
        <v>2978</v>
      </c>
      <c r="P23" s="708" t="s">
        <v>2718</v>
      </c>
      <c r="Q23" s="708" t="s">
        <v>2719</v>
      </c>
      <c r="R23" s="709" t="s">
        <v>2979</v>
      </c>
      <c r="S23" s="708" t="s">
        <v>2854</v>
      </c>
      <c r="T23" s="712" t="s">
        <v>2818</v>
      </c>
      <c r="U23" s="706" t="n">
        <f aca="false">U22+1</f>
        <v>21</v>
      </c>
      <c r="V23" s="713" t="s">
        <v>2980</v>
      </c>
      <c r="W23" s="714" t="n">
        <v>2</v>
      </c>
      <c r="X23" s="714" t="n">
        <v>2</v>
      </c>
      <c r="Y23" s="715" t="s">
        <v>2788</v>
      </c>
      <c r="Z23" s="714" t="n">
        <v>6</v>
      </c>
      <c r="AA23" s="714" t="s">
        <v>2981</v>
      </c>
      <c r="AB23" s="714" t="s">
        <v>2731</v>
      </c>
      <c r="AC23" s="714" t="s">
        <v>2982</v>
      </c>
      <c r="AD23" s="712" t="s">
        <v>2871</v>
      </c>
      <c r="AE23" s="716" t="n">
        <f aca="false">AE22+1</f>
        <v>21</v>
      </c>
      <c r="AF23" s="717" t="s">
        <v>2983</v>
      </c>
      <c r="AG23" s="718" t="n">
        <v>3</v>
      </c>
      <c r="AH23" s="718" t="n">
        <v>1</v>
      </c>
      <c r="AI23" s="719" t="s">
        <v>2984</v>
      </c>
      <c r="AJ23" s="718" t="s">
        <v>2718</v>
      </c>
      <c r="AK23" s="718" t="s">
        <v>2856</v>
      </c>
      <c r="AL23" s="718" t="s">
        <v>2858</v>
      </c>
      <c r="AM23" s="718" t="s">
        <v>2732</v>
      </c>
      <c r="AN23" s="710" t="s">
        <v>2985</v>
      </c>
      <c r="AO23" s="716" t="n">
        <f aca="false">AO22+1</f>
        <v>21</v>
      </c>
      <c r="AP23" s="720" t="s">
        <v>2961</v>
      </c>
      <c r="AQ23" s="714" t="n">
        <v>2</v>
      </c>
      <c r="AR23" s="714" t="n">
        <v>1</v>
      </c>
      <c r="AS23" s="715" t="s">
        <v>2766</v>
      </c>
      <c r="AT23" s="714" t="s">
        <v>2718</v>
      </c>
      <c r="AU23" s="714" t="s">
        <v>2823</v>
      </c>
      <c r="AV23" s="714" t="s">
        <v>2750</v>
      </c>
      <c r="AW23" s="714" t="s">
        <v>2751</v>
      </c>
      <c r="AX23" s="712" t="s">
        <v>2962</v>
      </c>
    </row>
    <row r="24" customFormat="false" ht="12.75" hidden="false" customHeight="false" outlineLevel="0" collapsed="false">
      <c r="A24" s="706" t="n">
        <f aca="false">A23+1</f>
        <v>22</v>
      </c>
      <c r="B24" s="711" t="s">
        <v>2963</v>
      </c>
      <c r="C24" s="708" t="n">
        <v>2</v>
      </c>
      <c r="D24" s="708" t="n">
        <v>2</v>
      </c>
      <c r="E24" s="708" t="s">
        <v>2809</v>
      </c>
      <c r="F24" s="708" t="s">
        <v>2718</v>
      </c>
      <c r="G24" s="708" t="s">
        <v>2744</v>
      </c>
      <c r="H24" s="709" t="s">
        <v>2964</v>
      </c>
      <c r="I24" s="708" t="s">
        <v>2965</v>
      </c>
      <c r="J24" s="712" t="s">
        <v>2860</v>
      </c>
      <c r="K24" s="706" t="n">
        <f aca="false">K23+1</f>
        <v>22</v>
      </c>
      <c r="L24" s="711" t="s">
        <v>2986</v>
      </c>
      <c r="M24" s="708" t="n">
        <v>2</v>
      </c>
      <c r="N24" s="708" t="n">
        <v>1</v>
      </c>
      <c r="O24" s="726" t="s">
        <v>2739</v>
      </c>
      <c r="P24" s="708" t="s">
        <v>2718</v>
      </c>
      <c r="Q24" s="708" t="s">
        <v>2719</v>
      </c>
      <c r="R24" s="709" t="s">
        <v>2987</v>
      </c>
      <c r="S24" s="708" t="s">
        <v>2721</v>
      </c>
      <c r="T24" s="712" t="s">
        <v>2871</v>
      </c>
      <c r="U24" s="706" t="n">
        <f aca="false">U23+1</f>
        <v>22</v>
      </c>
      <c r="V24" s="713" t="s">
        <v>2988</v>
      </c>
      <c r="W24" s="714" t="n">
        <v>2</v>
      </c>
      <c r="X24" s="714" t="n">
        <v>1</v>
      </c>
      <c r="Y24" s="715" t="s">
        <v>2954</v>
      </c>
      <c r="Z24" s="714" t="n">
        <v>6</v>
      </c>
      <c r="AA24" s="714" t="s">
        <v>2866</v>
      </c>
      <c r="AB24" s="714" t="s">
        <v>2731</v>
      </c>
      <c r="AC24" s="714" t="s">
        <v>2785</v>
      </c>
      <c r="AD24" s="712" t="s">
        <v>2989</v>
      </c>
      <c r="AE24" s="716" t="n">
        <f aca="false">AE23+1</f>
        <v>22</v>
      </c>
      <c r="AF24" s="720" t="s">
        <v>2990</v>
      </c>
      <c r="AG24" s="714" t="n">
        <v>3</v>
      </c>
      <c r="AH24" s="714" t="n">
        <v>1</v>
      </c>
      <c r="AI24" s="715" t="s">
        <v>2984</v>
      </c>
      <c r="AJ24" s="714" t="s">
        <v>2718</v>
      </c>
      <c r="AK24" s="714" t="s">
        <v>2719</v>
      </c>
      <c r="AL24" s="714" t="s">
        <v>2991</v>
      </c>
      <c r="AM24" s="714" t="s">
        <v>2992</v>
      </c>
      <c r="AN24" s="712" t="s">
        <v>2769</v>
      </c>
      <c r="AO24" s="716" t="n">
        <f aca="false">AO23+1</f>
        <v>22</v>
      </c>
      <c r="AP24" s="722" t="s">
        <v>2993</v>
      </c>
      <c r="AQ24" s="723" t="n">
        <v>2</v>
      </c>
      <c r="AR24" s="723" t="n">
        <v>1</v>
      </c>
      <c r="AS24" s="723" t="s">
        <v>2994</v>
      </c>
      <c r="AT24" s="723" t="s">
        <v>2718</v>
      </c>
      <c r="AU24" s="723" t="s">
        <v>2719</v>
      </c>
      <c r="AV24" s="724" t="s">
        <v>2967</v>
      </c>
      <c r="AW24" s="723" t="s">
        <v>2995</v>
      </c>
      <c r="AX24" s="725" t="s">
        <v>2885</v>
      </c>
    </row>
    <row r="25" customFormat="false" ht="12.75" hidden="false" customHeight="false" outlineLevel="0" collapsed="false">
      <c r="A25" s="706" t="n">
        <f aca="false">A24+1</f>
        <v>23</v>
      </c>
      <c r="B25" s="711" t="s">
        <v>2996</v>
      </c>
      <c r="C25" s="708" t="n">
        <v>2</v>
      </c>
      <c r="D25" s="708" t="n">
        <v>2</v>
      </c>
      <c r="E25" s="708" t="s">
        <v>2739</v>
      </c>
      <c r="F25" s="708" t="n">
        <v>6</v>
      </c>
      <c r="G25" s="708" t="s">
        <v>2719</v>
      </c>
      <c r="H25" s="709" t="s">
        <v>2997</v>
      </c>
      <c r="I25" s="708" t="s">
        <v>2757</v>
      </c>
      <c r="J25" s="712" t="s">
        <v>2989</v>
      </c>
      <c r="K25" s="706" t="n">
        <f aca="false">K24+1</f>
        <v>23</v>
      </c>
      <c r="L25" s="711" t="s">
        <v>2998</v>
      </c>
      <c r="M25" s="708" t="n">
        <v>2</v>
      </c>
      <c r="N25" s="708" t="n">
        <v>1</v>
      </c>
      <c r="O25" s="708" t="s">
        <v>2739</v>
      </c>
      <c r="P25" s="708" t="s">
        <v>2718</v>
      </c>
      <c r="Q25" s="708" t="s">
        <v>2999</v>
      </c>
      <c r="R25" s="709" t="s">
        <v>3000</v>
      </c>
      <c r="S25" s="708" t="s">
        <v>3001</v>
      </c>
      <c r="T25" s="712" t="s">
        <v>3002</v>
      </c>
      <c r="U25" s="706" t="n">
        <f aca="false">U24+1</f>
        <v>23</v>
      </c>
      <c r="V25" s="713" t="s">
        <v>3003</v>
      </c>
      <c r="W25" s="714" t="n">
        <v>2</v>
      </c>
      <c r="X25" s="714" t="n">
        <v>1</v>
      </c>
      <c r="Y25" s="715" t="s">
        <v>2788</v>
      </c>
      <c r="Z25" s="714" t="s">
        <v>2718</v>
      </c>
      <c r="AA25" s="714" t="s">
        <v>2755</v>
      </c>
      <c r="AB25" s="714" t="s">
        <v>2731</v>
      </c>
      <c r="AC25" s="714" t="s">
        <v>2751</v>
      </c>
      <c r="AD25" s="712" t="s">
        <v>2989</v>
      </c>
      <c r="AE25" s="716" t="n">
        <f aca="false">AE24+1</f>
        <v>23</v>
      </c>
      <c r="AF25" s="720" t="s">
        <v>3004</v>
      </c>
      <c r="AG25" s="714" t="n">
        <v>3</v>
      </c>
      <c r="AH25" s="714" t="n">
        <v>1</v>
      </c>
      <c r="AI25" s="715" t="s">
        <v>3005</v>
      </c>
      <c r="AJ25" s="714" t="s">
        <v>2718</v>
      </c>
      <c r="AK25" s="714" t="s">
        <v>2719</v>
      </c>
      <c r="AL25" s="714" t="s">
        <v>3006</v>
      </c>
      <c r="AM25" s="714" t="s">
        <v>2821</v>
      </c>
      <c r="AN25" s="712" t="s">
        <v>2922</v>
      </c>
      <c r="AO25" s="716" t="n">
        <f aca="false">AO24+1</f>
        <v>23</v>
      </c>
      <c r="AP25" s="717" t="s">
        <v>2734</v>
      </c>
      <c r="AQ25" s="718" t="n">
        <v>3</v>
      </c>
      <c r="AR25" s="718" t="n">
        <v>2</v>
      </c>
      <c r="AS25" s="719" t="s">
        <v>2735</v>
      </c>
      <c r="AT25" s="718" t="n">
        <v>6</v>
      </c>
      <c r="AU25" s="718" t="s">
        <v>2736</v>
      </c>
      <c r="AV25" s="718" t="s">
        <v>2731</v>
      </c>
      <c r="AW25" s="718" t="s">
        <v>2737</v>
      </c>
      <c r="AX25" s="712" t="s">
        <v>2733</v>
      </c>
    </row>
    <row r="26" customFormat="false" ht="12.75" hidden="false" customHeight="false" outlineLevel="0" collapsed="false">
      <c r="A26" s="706" t="n">
        <f aca="false">A25+1</f>
        <v>24</v>
      </c>
      <c r="B26" s="711" t="s">
        <v>3007</v>
      </c>
      <c r="C26" s="708" t="n">
        <v>2</v>
      </c>
      <c r="D26" s="708" t="n">
        <v>1</v>
      </c>
      <c r="E26" s="708" t="s">
        <v>3008</v>
      </c>
      <c r="F26" s="708" t="s">
        <v>2718</v>
      </c>
      <c r="G26" s="708" t="s">
        <v>2802</v>
      </c>
      <c r="H26" s="709" t="s">
        <v>3009</v>
      </c>
      <c r="I26" s="708" t="s">
        <v>2992</v>
      </c>
      <c r="J26" s="712" t="s">
        <v>2868</v>
      </c>
      <c r="K26" s="706" t="n">
        <f aca="false">K25+1</f>
        <v>24</v>
      </c>
      <c r="L26" s="711" t="s">
        <v>3010</v>
      </c>
      <c r="M26" s="708" t="n">
        <v>2</v>
      </c>
      <c r="N26" s="708" t="n">
        <v>2</v>
      </c>
      <c r="O26" s="708" t="s">
        <v>2839</v>
      </c>
      <c r="P26" s="708" t="s">
        <v>2718</v>
      </c>
      <c r="Q26" s="708" t="s">
        <v>2719</v>
      </c>
      <c r="R26" s="709" t="s">
        <v>2750</v>
      </c>
      <c r="S26" s="708" t="s">
        <v>2995</v>
      </c>
      <c r="T26" s="712" t="s">
        <v>3011</v>
      </c>
      <c r="U26" s="706" t="n">
        <f aca="false">U25+1</f>
        <v>24</v>
      </c>
      <c r="V26" s="713"/>
      <c r="W26" s="714"/>
      <c r="X26" s="714"/>
      <c r="Y26" s="715"/>
      <c r="Z26" s="714"/>
      <c r="AA26" s="714"/>
      <c r="AB26" s="714"/>
      <c r="AC26" s="714"/>
      <c r="AD26" s="712"/>
      <c r="AE26" s="716" t="n">
        <f aca="false">AE25+1</f>
        <v>24</v>
      </c>
      <c r="AF26" s="720" t="s">
        <v>3012</v>
      </c>
      <c r="AG26" s="714" t="n">
        <v>3</v>
      </c>
      <c r="AH26" s="714" t="n">
        <v>2</v>
      </c>
      <c r="AI26" s="715" t="s">
        <v>2984</v>
      </c>
      <c r="AJ26" s="714" t="s">
        <v>2718</v>
      </c>
      <c r="AK26" s="714" t="s">
        <v>2719</v>
      </c>
      <c r="AL26" s="714" t="s">
        <v>2731</v>
      </c>
      <c r="AM26" s="714" t="s">
        <v>2785</v>
      </c>
      <c r="AN26" s="712" t="s">
        <v>2824</v>
      </c>
      <c r="AO26" s="716" t="n">
        <f aca="false">AO25+1</f>
        <v>24</v>
      </c>
      <c r="AP26" s="711" t="s">
        <v>3013</v>
      </c>
      <c r="AQ26" s="727" t="n">
        <v>3</v>
      </c>
      <c r="AR26" s="727" t="n">
        <v>2</v>
      </c>
      <c r="AS26" s="727" t="s">
        <v>3014</v>
      </c>
      <c r="AT26" s="727" t="s">
        <v>2718</v>
      </c>
      <c r="AU26" s="727" t="s">
        <v>2719</v>
      </c>
      <c r="AV26" s="158" t="s">
        <v>3015</v>
      </c>
      <c r="AW26" s="727" t="s">
        <v>3016</v>
      </c>
      <c r="AX26" s="712" t="s">
        <v>2746</v>
      </c>
    </row>
    <row r="27" customFormat="false" ht="12.75" hidden="false" customHeight="false" outlineLevel="0" collapsed="false">
      <c r="A27" s="706" t="n">
        <f aca="false">A26+1</f>
        <v>25</v>
      </c>
      <c r="B27" s="711" t="s">
        <v>2975</v>
      </c>
      <c r="C27" s="708" t="n">
        <v>2</v>
      </c>
      <c r="D27" s="708" t="n">
        <v>1</v>
      </c>
      <c r="E27" s="708" t="s">
        <v>2739</v>
      </c>
      <c r="F27" s="708" t="s">
        <v>2754</v>
      </c>
      <c r="G27" s="708" t="s">
        <v>2794</v>
      </c>
      <c r="H27" s="709" t="s">
        <v>2976</v>
      </c>
      <c r="I27" s="708" t="s">
        <v>2785</v>
      </c>
      <c r="J27" s="712" t="s">
        <v>2868</v>
      </c>
      <c r="K27" s="706" t="n">
        <f aca="false">K26+1</f>
        <v>25</v>
      </c>
      <c r="L27" s="711" t="s">
        <v>3017</v>
      </c>
      <c r="M27" s="708" t="n">
        <v>2</v>
      </c>
      <c r="N27" s="708" t="n">
        <v>0</v>
      </c>
      <c r="O27" s="708" t="s">
        <v>2934</v>
      </c>
      <c r="P27" s="708" t="s">
        <v>2718</v>
      </c>
      <c r="Q27" s="708" t="s">
        <v>2802</v>
      </c>
      <c r="R27" s="709" t="s">
        <v>2967</v>
      </c>
      <c r="S27" s="708" t="s">
        <v>2732</v>
      </c>
      <c r="T27" s="712" t="s">
        <v>2879</v>
      </c>
      <c r="U27" s="706" t="n">
        <f aca="false">U26+1</f>
        <v>25</v>
      </c>
      <c r="V27" s="721" t="s">
        <v>3018</v>
      </c>
      <c r="W27" s="718" t="n">
        <v>3</v>
      </c>
      <c r="X27" s="718" t="n">
        <v>1</v>
      </c>
      <c r="Y27" s="719" t="s">
        <v>2748</v>
      </c>
      <c r="Z27" s="718" t="n">
        <v>6</v>
      </c>
      <c r="AA27" s="718" t="s">
        <v>2719</v>
      </c>
      <c r="AB27" s="718" t="s">
        <v>3019</v>
      </c>
      <c r="AC27" s="718" t="s">
        <v>2732</v>
      </c>
      <c r="AD27" s="710" t="s">
        <v>2727</v>
      </c>
      <c r="AE27" s="716" t="n">
        <f aca="false">AE26+1</f>
        <v>25</v>
      </c>
      <c r="AF27" s="720" t="s">
        <v>3020</v>
      </c>
      <c r="AG27" s="714" t="n">
        <v>3</v>
      </c>
      <c r="AH27" s="714" t="n">
        <v>2</v>
      </c>
      <c r="AI27" s="715" t="s">
        <v>2984</v>
      </c>
      <c r="AJ27" s="714" t="s">
        <v>2718</v>
      </c>
      <c r="AK27" s="714" t="s">
        <v>2719</v>
      </c>
      <c r="AL27" s="714" t="s">
        <v>3021</v>
      </c>
      <c r="AM27" s="714" t="s">
        <v>3022</v>
      </c>
      <c r="AN27" s="712" t="s">
        <v>2807</v>
      </c>
      <c r="AO27" s="716" t="n">
        <f aca="false">AO26+1</f>
        <v>25</v>
      </c>
      <c r="AP27" s="720" t="s">
        <v>2990</v>
      </c>
      <c r="AQ27" s="714" t="n">
        <v>3</v>
      </c>
      <c r="AR27" s="714" t="n">
        <v>1</v>
      </c>
      <c r="AS27" s="715" t="s">
        <v>2984</v>
      </c>
      <c r="AT27" s="714" t="s">
        <v>2718</v>
      </c>
      <c r="AU27" s="714" t="s">
        <v>2719</v>
      </c>
      <c r="AV27" s="714" t="s">
        <v>2991</v>
      </c>
      <c r="AW27" s="714" t="s">
        <v>2992</v>
      </c>
      <c r="AX27" s="712" t="s">
        <v>2769</v>
      </c>
    </row>
    <row r="28" customFormat="false" ht="12.75" hidden="false" customHeight="false" outlineLevel="0" collapsed="false">
      <c r="A28" s="706" t="n">
        <f aca="false">A27+1</f>
        <v>26</v>
      </c>
      <c r="B28" s="711" t="s">
        <v>3023</v>
      </c>
      <c r="C28" s="708" t="n">
        <v>2</v>
      </c>
      <c r="D28" s="708" t="n">
        <v>1</v>
      </c>
      <c r="E28" s="708" t="s">
        <v>2762</v>
      </c>
      <c r="F28" s="708" t="n">
        <v>6</v>
      </c>
      <c r="G28" s="708" t="s">
        <v>2749</v>
      </c>
      <c r="H28" s="709" t="s">
        <v>2759</v>
      </c>
      <c r="I28" s="708" t="s">
        <v>2777</v>
      </c>
      <c r="J28" s="712" t="s">
        <v>3024</v>
      </c>
      <c r="K28" s="706" t="n">
        <f aca="false">K27+1</f>
        <v>26</v>
      </c>
      <c r="L28" s="711" t="s">
        <v>2993</v>
      </c>
      <c r="M28" s="708" t="n">
        <v>2</v>
      </c>
      <c r="N28" s="708" t="n">
        <v>1</v>
      </c>
      <c r="O28" s="708" t="s">
        <v>2994</v>
      </c>
      <c r="P28" s="708" t="s">
        <v>2718</v>
      </c>
      <c r="Q28" s="708" t="s">
        <v>2719</v>
      </c>
      <c r="R28" s="709" t="s">
        <v>2967</v>
      </c>
      <c r="S28" s="708" t="s">
        <v>2995</v>
      </c>
      <c r="T28" s="712" t="s">
        <v>2885</v>
      </c>
      <c r="U28" s="706" t="n">
        <f aca="false">U27+1</f>
        <v>26</v>
      </c>
      <c r="V28" s="713" t="s">
        <v>3025</v>
      </c>
      <c r="W28" s="714" t="n">
        <v>3</v>
      </c>
      <c r="X28" s="714" t="n">
        <v>1</v>
      </c>
      <c r="Y28" s="715" t="s">
        <v>2748</v>
      </c>
      <c r="Z28" s="714" t="s">
        <v>2718</v>
      </c>
      <c r="AA28" s="714" t="s">
        <v>2719</v>
      </c>
      <c r="AB28" s="714" t="s">
        <v>3026</v>
      </c>
      <c r="AC28" s="714" t="s">
        <v>3027</v>
      </c>
      <c r="AD28" s="712" t="s">
        <v>2773</v>
      </c>
      <c r="AE28" s="716" t="n">
        <f aca="false">AE27+1</f>
        <v>26</v>
      </c>
      <c r="AF28" s="720" t="s">
        <v>3028</v>
      </c>
      <c r="AG28" s="714" t="n">
        <v>3</v>
      </c>
      <c r="AH28" s="714" t="s">
        <v>3029</v>
      </c>
      <c r="AI28" s="715" t="s">
        <v>3030</v>
      </c>
      <c r="AJ28" s="714" t="s">
        <v>3031</v>
      </c>
      <c r="AK28" s="714" t="s">
        <v>2736</v>
      </c>
      <c r="AL28" s="714" t="s">
        <v>3032</v>
      </c>
      <c r="AM28" s="714" t="s">
        <v>2732</v>
      </c>
      <c r="AN28" s="712" t="s">
        <v>2830</v>
      </c>
      <c r="AO28" s="716" t="n">
        <f aca="false">AO27+1</f>
        <v>26</v>
      </c>
      <c r="AP28" s="713" t="s">
        <v>3033</v>
      </c>
      <c r="AQ28" s="714" t="n">
        <v>3</v>
      </c>
      <c r="AR28" s="714" t="n">
        <v>2</v>
      </c>
      <c r="AS28" s="715" t="s">
        <v>2984</v>
      </c>
      <c r="AT28" s="714" t="s">
        <v>2718</v>
      </c>
      <c r="AU28" s="714" t="s">
        <v>2719</v>
      </c>
      <c r="AV28" s="714" t="s">
        <v>3034</v>
      </c>
      <c r="AW28" s="714" t="s">
        <v>3035</v>
      </c>
      <c r="AX28" s="712" t="s">
        <v>2773</v>
      </c>
    </row>
    <row r="29" customFormat="false" ht="12.75" hidden="false" customHeight="false" outlineLevel="0" collapsed="false">
      <c r="A29" s="706" t="n">
        <f aca="false">A28+1</f>
        <v>27</v>
      </c>
      <c r="B29" s="711" t="s">
        <v>3036</v>
      </c>
      <c r="C29" s="708" t="n">
        <v>2</v>
      </c>
      <c r="D29" s="708" t="n">
        <v>1</v>
      </c>
      <c r="E29" s="708" t="s">
        <v>2783</v>
      </c>
      <c r="F29" s="708" t="s">
        <v>2718</v>
      </c>
      <c r="G29" s="708" t="s">
        <v>2749</v>
      </c>
      <c r="H29" s="709" t="s">
        <v>2759</v>
      </c>
      <c r="I29" s="708" t="s">
        <v>2785</v>
      </c>
      <c r="J29" s="712" t="s">
        <v>3037</v>
      </c>
      <c r="K29" s="706" t="n">
        <f aca="false">K28+1</f>
        <v>27</v>
      </c>
      <c r="L29" s="711" t="s">
        <v>3038</v>
      </c>
      <c r="M29" s="708" t="n">
        <v>2</v>
      </c>
      <c r="N29" s="708" t="n">
        <v>1</v>
      </c>
      <c r="O29" s="708" t="s">
        <v>2739</v>
      </c>
      <c r="P29" s="708" t="n">
        <v>6</v>
      </c>
      <c r="Q29" s="708" t="s">
        <v>2755</v>
      </c>
      <c r="R29" s="709" t="s">
        <v>2756</v>
      </c>
      <c r="S29" s="708" t="s">
        <v>2768</v>
      </c>
      <c r="T29" s="712" t="s">
        <v>3039</v>
      </c>
      <c r="U29" s="706" t="n">
        <f aca="false">U28+1</f>
        <v>27</v>
      </c>
      <c r="V29" s="713" t="s">
        <v>3033</v>
      </c>
      <c r="W29" s="714" t="n">
        <v>3</v>
      </c>
      <c r="X29" s="714" t="n">
        <v>2</v>
      </c>
      <c r="Y29" s="715" t="s">
        <v>2984</v>
      </c>
      <c r="Z29" s="714" t="s">
        <v>2718</v>
      </c>
      <c r="AA29" s="714" t="s">
        <v>2719</v>
      </c>
      <c r="AB29" s="714" t="s">
        <v>3034</v>
      </c>
      <c r="AC29" s="714" t="s">
        <v>3035</v>
      </c>
      <c r="AD29" s="712" t="s">
        <v>2773</v>
      </c>
      <c r="AE29" s="716" t="n">
        <f aca="false">AE28+1</f>
        <v>27</v>
      </c>
      <c r="AF29" s="720" t="s">
        <v>3040</v>
      </c>
      <c r="AG29" s="714" t="n">
        <v>3</v>
      </c>
      <c r="AH29" s="714" t="n">
        <v>0</v>
      </c>
      <c r="AI29" s="715" t="s">
        <v>2862</v>
      </c>
      <c r="AJ29" s="714" t="s">
        <v>2754</v>
      </c>
      <c r="AK29" s="714" t="s">
        <v>2719</v>
      </c>
      <c r="AL29" s="714" t="s">
        <v>2759</v>
      </c>
      <c r="AM29" s="714" t="s">
        <v>2854</v>
      </c>
      <c r="AN29" s="712" t="s">
        <v>2851</v>
      </c>
      <c r="AO29" s="716" t="n">
        <f aca="false">AO28+1</f>
        <v>27</v>
      </c>
      <c r="AP29" s="713" t="s">
        <v>3041</v>
      </c>
      <c r="AQ29" s="714" t="n">
        <v>3</v>
      </c>
      <c r="AR29" s="714" t="n">
        <v>1</v>
      </c>
      <c r="AS29" s="715" t="s">
        <v>2788</v>
      </c>
      <c r="AT29" s="714" t="n">
        <v>6</v>
      </c>
      <c r="AU29" s="714" t="s">
        <v>2736</v>
      </c>
      <c r="AV29" s="714" t="s">
        <v>262</v>
      </c>
      <c r="AW29" s="714" t="s">
        <v>2732</v>
      </c>
      <c r="AX29" s="712" t="s">
        <v>2789</v>
      </c>
    </row>
    <row r="30" customFormat="false" ht="12.75" hidden="false" customHeight="false" outlineLevel="0" collapsed="false">
      <c r="A30" s="706" t="n">
        <f aca="false">A29+1</f>
        <v>28</v>
      </c>
      <c r="B30" s="707" t="s">
        <v>3013</v>
      </c>
      <c r="C30" s="213" t="n">
        <v>3</v>
      </c>
      <c r="D30" s="213" t="n">
        <v>2</v>
      </c>
      <c r="E30" s="213" t="s">
        <v>3014</v>
      </c>
      <c r="F30" s="213" t="s">
        <v>2718</v>
      </c>
      <c r="G30" s="213" t="s">
        <v>2719</v>
      </c>
      <c r="H30" s="212" t="s">
        <v>3015</v>
      </c>
      <c r="I30" s="213" t="s">
        <v>3016</v>
      </c>
      <c r="J30" s="710" t="s">
        <v>2746</v>
      </c>
      <c r="K30" s="706" t="n">
        <f aca="false">K29+1</f>
        <v>28</v>
      </c>
      <c r="L30" s="707" t="s">
        <v>3042</v>
      </c>
      <c r="M30" s="213" t="n">
        <v>3</v>
      </c>
      <c r="N30" s="213" t="n">
        <v>1</v>
      </c>
      <c r="O30" s="213" t="s">
        <v>3043</v>
      </c>
      <c r="P30" s="213" t="s">
        <v>2718</v>
      </c>
      <c r="Q30" s="213" t="s">
        <v>2946</v>
      </c>
      <c r="R30" s="212" t="s">
        <v>2750</v>
      </c>
      <c r="S30" s="213" t="s">
        <v>2768</v>
      </c>
      <c r="T30" s="710" t="s">
        <v>2722</v>
      </c>
      <c r="U30" s="706" t="n">
        <f aca="false">U29+1</f>
        <v>28</v>
      </c>
      <c r="V30" s="713" t="s">
        <v>3044</v>
      </c>
      <c r="W30" s="714" t="n">
        <v>3</v>
      </c>
      <c r="X30" s="714" t="n">
        <v>1</v>
      </c>
      <c r="Y30" s="715" t="s">
        <v>2809</v>
      </c>
      <c r="Z30" s="714" t="s">
        <v>2754</v>
      </c>
      <c r="AA30" s="714" t="s">
        <v>2999</v>
      </c>
      <c r="AB30" s="714" t="s">
        <v>2772</v>
      </c>
      <c r="AC30" s="714" t="s">
        <v>2854</v>
      </c>
      <c r="AD30" s="712" t="s">
        <v>2800</v>
      </c>
      <c r="AE30" s="716" t="n">
        <f aca="false">AE29+1</f>
        <v>28</v>
      </c>
      <c r="AF30" s="720" t="s">
        <v>3045</v>
      </c>
      <c r="AG30" s="714" t="n">
        <v>3</v>
      </c>
      <c r="AH30" s="714" t="n">
        <v>1</v>
      </c>
      <c r="AI30" s="715" t="s">
        <v>3046</v>
      </c>
      <c r="AJ30" s="714" t="s">
        <v>2754</v>
      </c>
      <c r="AK30" s="714" t="s">
        <v>2891</v>
      </c>
      <c r="AL30" s="714" t="s">
        <v>3047</v>
      </c>
      <c r="AM30" s="714" t="s">
        <v>2737</v>
      </c>
      <c r="AN30" s="712" t="s">
        <v>2851</v>
      </c>
      <c r="AO30" s="716" t="n">
        <f aca="false">AO29+1</f>
        <v>28</v>
      </c>
      <c r="AP30" s="713" t="s">
        <v>3048</v>
      </c>
      <c r="AQ30" s="714" t="n">
        <v>3</v>
      </c>
      <c r="AR30" s="714" t="n">
        <v>2</v>
      </c>
      <c r="AS30" s="715" t="s">
        <v>3046</v>
      </c>
      <c r="AT30" s="714" t="n">
        <v>6</v>
      </c>
      <c r="AU30" s="714" t="s">
        <v>2802</v>
      </c>
      <c r="AV30" s="714" t="s">
        <v>2772</v>
      </c>
      <c r="AW30" s="714" t="s">
        <v>2931</v>
      </c>
      <c r="AX30" s="712" t="s">
        <v>3049</v>
      </c>
    </row>
    <row r="31" customFormat="false" ht="12.75" hidden="false" customHeight="false" outlineLevel="0" collapsed="false">
      <c r="A31" s="706" t="n">
        <f aca="false">A30+1</f>
        <v>29</v>
      </c>
      <c r="B31" s="711" t="s">
        <v>3050</v>
      </c>
      <c r="C31" s="727" t="n">
        <v>3</v>
      </c>
      <c r="D31" s="727" t="n">
        <v>1</v>
      </c>
      <c r="E31" s="727" t="s">
        <v>2788</v>
      </c>
      <c r="F31" s="727" t="n">
        <v>6</v>
      </c>
      <c r="G31" s="727" t="s">
        <v>2736</v>
      </c>
      <c r="H31" s="158" t="s">
        <v>955</v>
      </c>
      <c r="I31" s="727" t="s">
        <v>2777</v>
      </c>
      <c r="J31" s="712" t="s">
        <v>2789</v>
      </c>
      <c r="K31" s="706" t="n">
        <f aca="false">K30+1</f>
        <v>29</v>
      </c>
      <c r="L31" s="711" t="s">
        <v>3051</v>
      </c>
      <c r="M31" s="708" t="n">
        <v>3</v>
      </c>
      <c r="N31" s="708" t="n">
        <v>1</v>
      </c>
      <c r="O31" s="708" t="s">
        <v>3052</v>
      </c>
      <c r="P31" s="708" t="s">
        <v>2718</v>
      </c>
      <c r="Q31" s="708" t="s">
        <v>2755</v>
      </c>
      <c r="R31" s="709" t="s">
        <v>3053</v>
      </c>
      <c r="S31" s="708" t="s">
        <v>3054</v>
      </c>
      <c r="T31" s="712" t="s">
        <v>2899</v>
      </c>
      <c r="U31" s="706" t="n">
        <f aca="false">U30+1</f>
        <v>29</v>
      </c>
      <c r="V31" s="713" t="s">
        <v>3055</v>
      </c>
      <c r="W31" s="714" t="n">
        <v>3</v>
      </c>
      <c r="X31" s="714" t="n">
        <v>1</v>
      </c>
      <c r="Y31" s="715" t="s">
        <v>2788</v>
      </c>
      <c r="Z31" s="714" t="n">
        <v>6</v>
      </c>
      <c r="AA31" s="714" t="s">
        <v>2736</v>
      </c>
      <c r="AB31" s="714" t="s">
        <v>262</v>
      </c>
      <c r="AC31" s="714" t="s">
        <v>2732</v>
      </c>
      <c r="AD31" s="712" t="s">
        <v>2789</v>
      </c>
      <c r="AE31" s="716" t="n">
        <f aca="false">AE30+1</f>
        <v>29</v>
      </c>
      <c r="AF31" s="720" t="s">
        <v>3056</v>
      </c>
      <c r="AG31" s="714" t="n">
        <v>3</v>
      </c>
      <c r="AH31" s="714" t="n">
        <v>1</v>
      </c>
      <c r="AI31" s="715" t="s">
        <v>2748</v>
      </c>
      <c r="AJ31" s="714" t="s">
        <v>2718</v>
      </c>
      <c r="AK31" s="714" t="s">
        <v>2719</v>
      </c>
      <c r="AL31" s="714" t="s">
        <v>3057</v>
      </c>
      <c r="AM31" s="714" t="s">
        <v>2836</v>
      </c>
      <c r="AN31" s="712" t="s">
        <v>3058</v>
      </c>
      <c r="AO31" s="716" t="n">
        <f aca="false">AO30+1</f>
        <v>29</v>
      </c>
      <c r="AP31" s="711" t="s">
        <v>3059</v>
      </c>
      <c r="AQ31" s="708" t="n">
        <v>3</v>
      </c>
      <c r="AR31" s="708" t="n">
        <v>0</v>
      </c>
      <c r="AS31" s="708" t="s">
        <v>2743</v>
      </c>
      <c r="AT31" s="708" t="s">
        <v>2718</v>
      </c>
      <c r="AU31" s="708" t="s">
        <v>2856</v>
      </c>
      <c r="AV31" s="709" t="s">
        <v>2772</v>
      </c>
      <c r="AW31" s="708" t="s">
        <v>3054</v>
      </c>
      <c r="AX31" s="712" t="s">
        <v>2951</v>
      </c>
    </row>
    <row r="32" customFormat="false" ht="12.75" hidden="false" customHeight="false" outlineLevel="0" collapsed="false">
      <c r="A32" s="706" t="n">
        <f aca="false">A31+1</f>
        <v>30</v>
      </c>
      <c r="B32" s="711" t="s">
        <v>3060</v>
      </c>
      <c r="C32" s="727" t="n">
        <v>3</v>
      </c>
      <c r="D32" s="727" t="n">
        <v>1</v>
      </c>
      <c r="E32" s="727" t="s">
        <v>2748</v>
      </c>
      <c r="F32" s="727" t="n">
        <v>6</v>
      </c>
      <c r="G32" s="727" t="s">
        <v>2823</v>
      </c>
      <c r="H32" s="158" t="s">
        <v>955</v>
      </c>
      <c r="I32" s="727" t="s">
        <v>2721</v>
      </c>
      <c r="J32" s="712" t="s">
        <v>3061</v>
      </c>
      <c r="K32" s="706" t="n">
        <f aca="false">K31+1</f>
        <v>30</v>
      </c>
      <c r="L32" s="711" t="s">
        <v>3062</v>
      </c>
      <c r="M32" s="708" t="n">
        <v>3</v>
      </c>
      <c r="N32" s="708" t="n">
        <v>1</v>
      </c>
      <c r="O32" s="708" t="s">
        <v>3063</v>
      </c>
      <c r="P32" s="708" t="s">
        <v>2718</v>
      </c>
      <c r="Q32" s="708" t="s">
        <v>2776</v>
      </c>
      <c r="R32" s="709" t="s">
        <v>3064</v>
      </c>
      <c r="S32" s="708" t="s">
        <v>3065</v>
      </c>
      <c r="T32" s="712" t="s">
        <v>2781</v>
      </c>
      <c r="U32" s="706" t="n">
        <f aca="false">U31+1</f>
        <v>30</v>
      </c>
      <c r="V32" s="713" t="s">
        <v>3048</v>
      </c>
      <c r="W32" s="714" t="n">
        <v>3</v>
      </c>
      <c r="X32" s="714" t="n">
        <v>2</v>
      </c>
      <c r="Y32" s="715" t="s">
        <v>3046</v>
      </c>
      <c r="Z32" s="714" t="n">
        <v>6</v>
      </c>
      <c r="AA32" s="714" t="s">
        <v>2802</v>
      </c>
      <c r="AB32" s="714" t="s">
        <v>2772</v>
      </c>
      <c r="AC32" s="714" t="s">
        <v>2931</v>
      </c>
      <c r="AD32" s="712" t="s">
        <v>3049</v>
      </c>
      <c r="AE32" s="716" t="n">
        <f aca="false">AE31+1</f>
        <v>30</v>
      </c>
      <c r="AF32" s="720" t="s">
        <v>3066</v>
      </c>
      <c r="AG32" s="714" t="n">
        <v>3</v>
      </c>
      <c r="AH32" s="714" t="n">
        <v>1</v>
      </c>
      <c r="AI32" s="715" t="s">
        <v>2748</v>
      </c>
      <c r="AJ32" s="714" t="s">
        <v>2718</v>
      </c>
      <c r="AK32" s="714" t="s">
        <v>2736</v>
      </c>
      <c r="AL32" s="714" t="s">
        <v>3067</v>
      </c>
      <c r="AM32" s="714" t="s">
        <v>3068</v>
      </c>
      <c r="AN32" s="712" t="s">
        <v>3058</v>
      </c>
      <c r="AO32" s="716" t="n">
        <f aca="false">AO31+1</f>
        <v>30</v>
      </c>
      <c r="AP32" s="711" t="s">
        <v>3069</v>
      </c>
      <c r="AQ32" s="708" t="n">
        <v>3</v>
      </c>
      <c r="AR32" s="708" t="n">
        <v>1</v>
      </c>
      <c r="AS32" s="708" t="s">
        <v>3070</v>
      </c>
      <c r="AT32" s="708" t="s">
        <v>2718</v>
      </c>
      <c r="AU32" s="708" t="s">
        <v>2802</v>
      </c>
      <c r="AV32" s="709" t="s">
        <v>2731</v>
      </c>
      <c r="AW32" s="708" t="s">
        <v>3071</v>
      </c>
      <c r="AX32" s="712" t="s">
        <v>2818</v>
      </c>
    </row>
    <row r="33" customFormat="false" ht="12.75" hidden="false" customHeight="false" outlineLevel="0" collapsed="false">
      <c r="A33" s="706" t="n">
        <f aca="false">A32+1</f>
        <v>31</v>
      </c>
      <c r="B33" s="711" t="s">
        <v>3072</v>
      </c>
      <c r="C33" s="708" t="n">
        <v>3</v>
      </c>
      <c r="D33" s="708" t="n">
        <v>0</v>
      </c>
      <c r="E33" s="708" t="s">
        <v>2950</v>
      </c>
      <c r="F33" s="708" t="n">
        <v>6</v>
      </c>
      <c r="G33" s="708" t="s">
        <v>2794</v>
      </c>
      <c r="H33" s="709" t="s">
        <v>2967</v>
      </c>
      <c r="I33" s="708" t="s">
        <v>3073</v>
      </c>
      <c r="J33" s="712" t="s">
        <v>2837</v>
      </c>
      <c r="K33" s="706" t="n">
        <f aca="false">K32+1</f>
        <v>31</v>
      </c>
      <c r="L33" s="711" t="s">
        <v>3074</v>
      </c>
      <c r="M33" s="708" t="n">
        <v>3</v>
      </c>
      <c r="N33" s="708" t="n">
        <v>1</v>
      </c>
      <c r="O33" s="708" t="s">
        <v>2748</v>
      </c>
      <c r="P33" s="708" t="s">
        <v>2718</v>
      </c>
      <c r="Q33" s="708" t="s">
        <v>2802</v>
      </c>
      <c r="R33" s="709" t="s">
        <v>3075</v>
      </c>
      <c r="S33" s="708" t="s">
        <v>2931</v>
      </c>
      <c r="T33" s="712" t="s">
        <v>2773</v>
      </c>
      <c r="U33" s="706" t="n">
        <f aca="false">U32+1</f>
        <v>31</v>
      </c>
      <c r="V33" s="713" t="s">
        <v>3076</v>
      </c>
      <c r="W33" s="714" t="n">
        <v>3</v>
      </c>
      <c r="X33" s="714" t="n">
        <v>4</v>
      </c>
      <c r="Y33" s="715" t="s">
        <v>3077</v>
      </c>
      <c r="Z33" s="714" t="s">
        <v>2845</v>
      </c>
      <c r="AA33" s="714" t="s">
        <v>3078</v>
      </c>
      <c r="AB33" s="714" t="s">
        <v>3079</v>
      </c>
      <c r="AC33" s="714" t="s">
        <v>3080</v>
      </c>
      <c r="AD33" s="712" t="s">
        <v>2939</v>
      </c>
      <c r="AE33" s="716" t="n">
        <f aca="false">AE32+1</f>
        <v>31</v>
      </c>
      <c r="AF33" s="720" t="s">
        <v>2900</v>
      </c>
      <c r="AG33" s="714" t="n">
        <v>3</v>
      </c>
      <c r="AH33" s="714" t="n">
        <v>2</v>
      </c>
      <c r="AI33" s="715" t="s">
        <v>2901</v>
      </c>
      <c r="AJ33" s="714" t="s">
        <v>2718</v>
      </c>
      <c r="AK33" s="714" t="s">
        <v>2719</v>
      </c>
      <c r="AL33" s="714" t="s">
        <v>2750</v>
      </c>
      <c r="AM33" s="714" t="s">
        <v>2902</v>
      </c>
      <c r="AN33" s="712" t="s">
        <v>2864</v>
      </c>
      <c r="AO33" s="716" t="n">
        <f aca="false">AO32+1</f>
        <v>31</v>
      </c>
      <c r="AP33" s="720" t="s">
        <v>3066</v>
      </c>
      <c r="AQ33" s="714" t="n">
        <v>3</v>
      </c>
      <c r="AR33" s="714" t="n">
        <v>1</v>
      </c>
      <c r="AS33" s="715" t="s">
        <v>2748</v>
      </c>
      <c r="AT33" s="714" t="s">
        <v>2718</v>
      </c>
      <c r="AU33" s="714" t="s">
        <v>2736</v>
      </c>
      <c r="AV33" s="714" t="s">
        <v>3067</v>
      </c>
      <c r="AW33" s="714" t="s">
        <v>3068</v>
      </c>
      <c r="AX33" s="712" t="s">
        <v>3058</v>
      </c>
    </row>
    <row r="34" customFormat="false" ht="12.75" hidden="false" customHeight="false" outlineLevel="0" collapsed="false">
      <c r="A34" s="706" t="n">
        <f aca="false">A33+1</f>
        <v>32</v>
      </c>
      <c r="B34" s="711" t="s">
        <v>3081</v>
      </c>
      <c r="C34" s="708" t="n">
        <v>3</v>
      </c>
      <c r="D34" s="708" t="n">
        <v>2</v>
      </c>
      <c r="E34" s="708" t="s">
        <v>3082</v>
      </c>
      <c r="F34" s="708" t="s">
        <v>2718</v>
      </c>
      <c r="G34" s="708" t="s">
        <v>2719</v>
      </c>
      <c r="H34" s="709" t="s">
        <v>3083</v>
      </c>
      <c r="I34" s="708" t="s">
        <v>2757</v>
      </c>
      <c r="J34" s="712" t="s">
        <v>2807</v>
      </c>
      <c r="K34" s="706" t="n">
        <f aca="false">K33+1</f>
        <v>32</v>
      </c>
      <c r="L34" s="711" t="s">
        <v>3084</v>
      </c>
      <c r="M34" s="708" t="n">
        <v>3</v>
      </c>
      <c r="N34" s="708" t="n">
        <v>2</v>
      </c>
      <c r="O34" s="708" t="s">
        <v>2735</v>
      </c>
      <c r="P34" s="708" t="n">
        <v>6</v>
      </c>
      <c r="Q34" s="708" t="s">
        <v>2755</v>
      </c>
      <c r="R34" s="709" t="s">
        <v>2731</v>
      </c>
      <c r="S34" s="708" t="s">
        <v>2737</v>
      </c>
      <c r="T34" s="712" t="s">
        <v>2800</v>
      </c>
      <c r="U34" s="706" t="n">
        <f aca="false">U33+1</f>
        <v>32</v>
      </c>
      <c r="V34" s="713" t="s">
        <v>3085</v>
      </c>
      <c r="W34" s="714" t="n">
        <v>3</v>
      </c>
      <c r="X34" s="714" t="n">
        <v>1</v>
      </c>
      <c r="Y34" s="715" t="s">
        <v>3086</v>
      </c>
      <c r="Z34" s="714" t="n">
        <v>6</v>
      </c>
      <c r="AA34" s="714" t="s">
        <v>2981</v>
      </c>
      <c r="AB34" s="714" t="s">
        <v>3087</v>
      </c>
      <c r="AC34" s="714" t="s">
        <v>2732</v>
      </c>
      <c r="AD34" s="712" t="s">
        <v>2860</v>
      </c>
      <c r="AE34" s="716" t="n">
        <f aca="false">AE33+1</f>
        <v>32</v>
      </c>
      <c r="AF34" s="720" t="s">
        <v>3088</v>
      </c>
      <c r="AG34" s="714" t="n">
        <v>3</v>
      </c>
      <c r="AH34" s="714" t="n">
        <v>1</v>
      </c>
      <c r="AI34" s="715" t="s">
        <v>2748</v>
      </c>
      <c r="AJ34" s="714" t="s">
        <v>2718</v>
      </c>
      <c r="AK34" s="714" t="s">
        <v>2719</v>
      </c>
      <c r="AL34" s="714" t="s">
        <v>3089</v>
      </c>
      <c r="AM34" s="714" t="s">
        <v>2836</v>
      </c>
      <c r="AN34" s="712" t="s">
        <v>3002</v>
      </c>
      <c r="AO34" s="716" t="n">
        <f aca="false">AO33+1</f>
        <v>32</v>
      </c>
      <c r="AP34" s="711" t="s">
        <v>3090</v>
      </c>
      <c r="AQ34" s="708" t="n">
        <v>3</v>
      </c>
      <c r="AR34" s="708" t="n">
        <v>3</v>
      </c>
      <c r="AS34" s="708" t="s">
        <v>3014</v>
      </c>
      <c r="AT34" s="708" t="n">
        <v>6</v>
      </c>
      <c r="AU34" s="708" t="s">
        <v>2802</v>
      </c>
      <c r="AV34" s="709" t="s">
        <v>2858</v>
      </c>
      <c r="AW34" s="708" t="s">
        <v>2982</v>
      </c>
      <c r="AX34" s="712" t="s">
        <v>2833</v>
      </c>
    </row>
    <row r="35" customFormat="false" ht="12.75" hidden="false" customHeight="false" outlineLevel="0" collapsed="false">
      <c r="A35" s="706" t="n">
        <f aca="false">A34+1</f>
        <v>33</v>
      </c>
      <c r="B35" s="711" t="s">
        <v>3059</v>
      </c>
      <c r="C35" s="708" t="n">
        <v>3</v>
      </c>
      <c r="D35" s="708" t="n">
        <v>0</v>
      </c>
      <c r="E35" s="708" t="s">
        <v>2743</v>
      </c>
      <c r="F35" s="708" t="s">
        <v>2718</v>
      </c>
      <c r="G35" s="708" t="s">
        <v>2856</v>
      </c>
      <c r="H35" s="709" t="s">
        <v>2772</v>
      </c>
      <c r="I35" s="708" t="s">
        <v>3054</v>
      </c>
      <c r="J35" s="712" t="s">
        <v>2951</v>
      </c>
      <c r="K35" s="706" t="n">
        <f aca="false">K34+1</f>
        <v>33</v>
      </c>
      <c r="L35" s="711" t="s">
        <v>3091</v>
      </c>
      <c r="M35" s="708" t="n">
        <v>3</v>
      </c>
      <c r="N35" s="708" t="n">
        <v>1</v>
      </c>
      <c r="O35" s="708" t="s">
        <v>2788</v>
      </c>
      <c r="P35" s="708" t="n">
        <v>6</v>
      </c>
      <c r="Q35" s="708" t="s">
        <v>2736</v>
      </c>
      <c r="R35" s="709" t="s">
        <v>262</v>
      </c>
      <c r="S35" s="708" t="s">
        <v>2732</v>
      </c>
      <c r="T35" s="712" t="s">
        <v>2789</v>
      </c>
      <c r="U35" s="706" t="n">
        <f aca="false">U34+1</f>
        <v>33</v>
      </c>
      <c r="V35" s="713" t="s">
        <v>3092</v>
      </c>
      <c r="W35" s="714" t="n">
        <v>3</v>
      </c>
      <c r="X35" s="714" t="n">
        <v>0</v>
      </c>
      <c r="Y35" s="715" t="s">
        <v>2826</v>
      </c>
      <c r="Z35" s="714" t="s">
        <v>2718</v>
      </c>
      <c r="AA35" s="714" t="s">
        <v>2794</v>
      </c>
      <c r="AB35" s="714" t="s">
        <v>262</v>
      </c>
      <c r="AC35" s="714" t="s">
        <v>2751</v>
      </c>
      <c r="AD35" s="712" t="s">
        <v>2860</v>
      </c>
      <c r="AE35" s="716" t="n">
        <f aca="false">AE34+1</f>
        <v>33</v>
      </c>
      <c r="AF35" s="720" t="s">
        <v>3093</v>
      </c>
      <c r="AG35" s="714" t="n">
        <v>3</v>
      </c>
      <c r="AH35" s="714" t="n">
        <v>2</v>
      </c>
      <c r="AI35" s="715" t="s">
        <v>2788</v>
      </c>
      <c r="AJ35" s="714" t="s">
        <v>2718</v>
      </c>
      <c r="AK35" s="714" t="s">
        <v>2981</v>
      </c>
      <c r="AL35" s="714" t="s">
        <v>2858</v>
      </c>
      <c r="AM35" s="714" t="s">
        <v>2732</v>
      </c>
      <c r="AN35" s="712" t="s">
        <v>2989</v>
      </c>
      <c r="AO35" s="716" t="n">
        <f aca="false">AO34+1</f>
        <v>33</v>
      </c>
      <c r="AP35" s="711" t="s">
        <v>3094</v>
      </c>
      <c r="AQ35" s="708" t="n">
        <v>3</v>
      </c>
      <c r="AR35" s="708" t="n">
        <v>1</v>
      </c>
      <c r="AS35" s="708" t="s">
        <v>2748</v>
      </c>
      <c r="AT35" s="708" t="n">
        <v>6</v>
      </c>
      <c r="AU35" s="708" t="s">
        <v>2981</v>
      </c>
      <c r="AV35" s="709" t="s">
        <v>3095</v>
      </c>
      <c r="AW35" s="708" t="s">
        <v>2785</v>
      </c>
      <c r="AX35" s="712" t="s">
        <v>2847</v>
      </c>
    </row>
    <row r="36" customFormat="false" ht="12.75" hidden="false" customHeight="false" outlineLevel="0" collapsed="false">
      <c r="A36" s="706" t="n">
        <f aca="false">A35+1</f>
        <v>34</v>
      </c>
      <c r="B36" s="711" t="s">
        <v>3096</v>
      </c>
      <c r="C36" s="708" t="n">
        <v>3</v>
      </c>
      <c r="D36" s="708" t="n">
        <v>1</v>
      </c>
      <c r="E36" s="708" t="s">
        <v>3052</v>
      </c>
      <c r="F36" s="708" t="s">
        <v>2718</v>
      </c>
      <c r="G36" s="708" t="s">
        <v>2749</v>
      </c>
      <c r="H36" s="709" t="s">
        <v>2772</v>
      </c>
      <c r="I36" s="708" t="s">
        <v>2777</v>
      </c>
      <c r="J36" s="712" t="s">
        <v>3097</v>
      </c>
      <c r="K36" s="706" t="n">
        <f aca="false">K35+1</f>
        <v>34</v>
      </c>
      <c r="L36" s="711" t="s">
        <v>3098</v>
      </c>
      <c r="M36" s="708" t="n">
        <v>3</v>
      </c>
      <c r="N36" s="708" t="n">
        <v>2</v>
      </c>
      <c r="O36" s="708" t="s">
        <v>2887</v>
      </c>
      <c r="P36" s="708" t="n">
        <v>6</v>
      </c>
      <c r="Q36" s="708" t="s">
        <v>2719</v>
      </c>
      <c r="R36" s="709" t="s">
        <v>3099</v>
      </c>
      <c r="S36" s="708" t="s">
        <v>2982</v>
      </c>
      <c r="T36" s="712" t="s">
        <v>3061</v>
      </c>
      <c r="U36" s="706" t="n">
        <f aca="false">U35+1</f>
        <v>34</v>
      </c>
      <c r="V36" s="713" t="s">
        <v>3100</v>
      </c>
      <c r="W36" s="714" t="n">
        <v>3</v>
      </c>
      <c r="X36" s="714" t="n">
        <v>2</v>
      </c>
      <c r="Y36" s="715" t="s">
        <v>2984</v>
      </c>
      <c r="Z36" s="714" t="n">
        <v>6</v>
      </c>
      <c r="AA36" s="714" t="s">
        <v>2719</v>
      </c>
      <c r="AB36" s="714" t="s">
        <v>3101</v>
      </c>
      <c r="AC36" s="714" t="s">
        <v>3080</v>
      </c>
      <c r="AD36" s="712" t="s">
        <v>2847</v>
      </c>
      <c r="AE36" s="716" t="n">
        <f aca="false">AE35+1</f>
        <v>34</v>
      </c>
      <c r="AF36" s="720" t="s">
        <v>3102</v>
      </c>
      <c r="AG36" s="714" t="n">
        <v>3</v>
      </c>
      <c r="AH36" s="714" t="n">
        <v>1</v>
      </c>
      <c r="AI36" s="715" t="s">
        <v>2748</v>
      </c>
      <c r="AJ36" s="714" t="s">
        <v>2718</v>
      </c>
      <c r="AK36" s="714" t="s">
        <v>2719</v>
      </c>
      <c r="AL36" s="714" t="s">
        <v>3103</v>
      </c>
      <c r="AM36" s="714" t="s">
        <v>3027</v>
      </c>
      <c r="AN36" s="712" t="s">
        <v>2885</v>
      </c>
      <c r="AO36" s="716" t="n">
        <f aca="false">AO35+1</f>
        <v>34</v>
      </c>
      <c r="AP36" s="711" t="s">
        <v>3104</v>
      </c>
      <c r="AQ36" s="708" t="n">
        <v>3</v>
      </c>
      <c r="AR36" s="708" t="n">
        <v>1</v>
      </c>
      <c r="AS36" s="708" t="s">
        <v>2748</v>
      </c>
      <c r="AT36" s="708" t="s">
        <v>2718</v>
      </c>
      <c r="AU36" s="708" t="s">
        <v>2794</v>
      </c>
      <c r="AV36" s="709" t="s">
        <v>3105</v>
      </c>
      <c r="AW36" s="708" t="s">
        <v>2785</v>
      </c>
      <c r="AX36" s="712" t="s">
        <v>3106</v>
      </c>
    </row>
    <row r="37" customFormat="false" ht="12.75" hidden="false" customHeight="false" outlineLevel="0" collapsed="false">
      <c r="A37" s="706" t="n">
        <f aca="false">A36+1</f>
        <v>35</v>
      </c>
      <c r="B37" s="711" t="s">
        <v>3090</v>
      </c>
      <c r="C37" s="708" t="n">
        <v>3</v>
      </c>
      <c r="D37" s="708" t="n">
        <v>3</v>
      </c>
      <c r="E37" s="708" t="s">
        <v>3014</v>
      </c>
      <c r="F37" s="708" t="n">
        <v>6</v>
      </c>
      <c r="G37" s="708" t="s">
        <v>2802</v>
      </c>
      <c r="H37" s="709" t="s">
        <v>2858</v>
      </c>
      <c r="I37" s="708" t="s">
        <v>2982</v>
      </c>
      <c r="J37" s="712" t="s">
        <v>2833</v>
      </c>
      <c r="K37" s="706" t="n">
        <f aca="false">K36+1</f>
        <v>35</v>
      </c>
      <c r="L37" s="711" t="s">
        <v>3107</v>
      </c>
      <c r="M37" s="708" t="n">
        <v>3</v>
      </c>
      <c r="N37" s="708" t="n">
        <v>2</v>
      </c>
      <c r="O37" s="708" t="s">
        <v>2748</v>
      </c>
      <c r="P37" s="708" t="s">
        <v>2754</v>
      </c>
      <c r="Q37" s="708" t="s">
        <v>2719</v>
      </c>
      <c r="R37" s="709" t="s">
        <v>2759</v>
      </c>
      <c r="S37" s="708" t="s">
        <v>2982</v>
      </c>
      <c r="T37" s="712" t="s">
        <v>2840</v>
      </c>
      <c r="U37" s="706" t="n">
        <f aca="false">U36+1</f>
        <v>35</v>
      </c>
      <c r="V37" s="713" t="s">
        <v>3108</v>
      </c>
      <c r="W37" s="714" t="n">
        <v>3</v>
      </c>
      <c r="X37" s="714" t="n">
        <v>2</v>
      </c>
      <c r="Y37" s="715" t="s">
        <v>2748</v>
      </c>
      <c r="Z37" s="714" t="s">
        <v>2718</v>
      </c>
      <c r="AA37" s="714" t="s">
        <v>2719</v>
      </c>
      <c r="AB37" s="714" t="s">
        <v>2731</v>
      </c>
      <c r="AC37" s="714" t="s">
        <v>2757</v>
      </c>
      <c r="AD37" s="712" t="s">
        <v>3002</v>
      </c>
      <c r="AE37" s="716" t="n">
        <f aca="false">AE36+1</f>
        <v>35</v>
      </c>
      <c r="AF37" s="720" t="s">
        <v>3109</v>
      </c>
      <c r="AG37" s="714" t="n">
        <v>3</v>
      </c>
      <c r="AH37" s="714" t="n">
        <v>2</v>
      </c>
      <c r="AI37" s="715" t="s">
        <v>2766</v>
      </c>
      <c r="AJ37" s="714" t="s">
        <v>2718</v>
      </c>
      <c r="AK37" s="714" t="s">
        <v>2719</v>
      </c>
      <c r="AL37" s="714" t="s">
        <v>3110</v>
      </c>
      <c r="AM37" s="714" t="s">
        <v>2982</v>
      </c>
      <c r="AN37" s="712" t="s">
        <v>3039</v>
      </c>
      <c r="AO37" s="716" t="n">
        <f aca="false">AO36+1</f>
        <v>35</v>
      </c>
      <c r="AP37" s="711" t="s">
        <v>3111</v>
      </c>
      <c r="AQ37" s="708" t="n">
        <v>3</v>
      </c>
      <c r="AR37" s="708" t="n">
        <v>2</v>
      </c>
      <c r="AS37" s="708" t="s">
        <v>3052</v>
      </c>
      <c r="AT37" s="708" t="n">
        <v>6</v>
      </c>
      <c r="AU37" s="708" t="s">
        <v>2755</v>
      </c>
      <c r="AV37" s="709" t="s">
        <v>3112</v>
      </c>
      <c r="AW37" s="708" t="s">
        <v>2721</v>
      </c>
      <c r="AX37" s="712" t="s">
        <v>3011</v>
      </c>
    </row>
    <row r="38" customFormat="false" ht="12.75" hidden="false" customHeight="false" outlineLevel="0" collapsed="false">
      <c r="A38" s="706" t="n">
        <f aca="false">A37+1</f>
        <v>36</v>
      </c>
      <c r="B38" s="711" t="s">
        <v>3113</v>
      </c>
      <c r="C38" s="708" t="n">
        <v>3</v>
      </c>
      <c r="D38" s="708" t="s">
        <v>549</v>
      </c>
      <c r="E38" s="708" t="s">
        <v>3114</v>
      </c>
      <c r="F38" s="708" t="s">
        <v>2754</v>
      </c>
      <c r="G38" s="708" t="s">
        <v>3115</v>
      </c>
      <c r="H38" s="709" t="s">
        <v>955</v>
      </c>
      <c r="I38" s="708" t="s">
        <v>3080</v>
      </c>
      <c r="J38" s="712" t="s">
        <v>2847</v>
      </c>
      <c r="K38" s="706" t="n">
        <f aca="false">K37+1</f>
        <v>36</v>
      </c>
      <c r="L38" s="711" t="s">
        <v>3069</v>
      </c>
      <c r="M38" s="708" t="n">
        <v>3</v>
      </c>
      <c r="N38" s="708" t="n">
        <v>1</v>
      </c>
      <c r="O38" s="708" t="s">
        <v>3070</v>
      </c>
      <c r="P38" s="708" t="s">
        <v>2718</v>
      </c>
      <c r="Q38" s="708" t="s">
        <v>2802</v>
      </c>
      <c r="R38" s="709" t="s">
        <v>2731</v>
      </c>
      <c r="S38" s="708" t="s">
        <v>3071</v>
      </c>
      <c r="T38" s="712" t="s">
        <v>2818</v>
      </c>
      <c r="U38" s="706" t="n">
        <f aca="false">U37+1</f>
        <v>36</v>
      </c>
      <c r="V38" s="713" t="s">
        <v>3116</v>
      </c>
      <c r="W38" s="714" t="n">
        <v>3</v>
      </c>
      <c r="X38" s="714" t="n">
        <v>1</v>
      </c>
      <c r="Y38" s="715" t="s">
        <v>3117</v>
      </c>
      <c r="Z38" s="714" t="n">
        <v>10</v>
      </c>
      <c r="AA38" s="714" t="s">
        <v>2755</v>
      </c>
      <c r="AB38" s="714" t="s">
        <v>3118</v>
      </c>
      <c r="AC38" s="714" t="s">
        <v>2796</v>
      </c>
      <c r="AD38" s="712" t="s">
        <v>2875</v>
      </c>
      <c r="AE38" s="716" t="n">
        <f aca="false">AE37+1</f>
        <v>36</v>
      </c>
      <c r="AF38" s="717" t="s">
        <v>3119</v>
      </c>
      <c r="AG38" s="718" t="n">
        <v>4</v>
      </c>
      <c r="AH38" s="718" t="n">
        <v>3</v>
      </c>
      <c r="AI38" s="719" t="s">
        <v>3052</v>
      </c>
      <c r="AJ38" s="718" t="n">
        <v>6</v>
      </c>
      <c r="AK38" s="718" t="s">
        <v>3065</v>
      </c>
      <c r="AL38" s="718" t="s">
        <v>2731</v>
      </c>
      <c r="AM38" s="718" t="s">
        <v>3035</v>
      </c>
      <c r="AN38" s="710" t="s">
        <v>2985</v>
      </c>
      <c r="AO38" s="716" t="n">
        <f aca="false">AO37+1</f>
        <v>36</v>
      </c>
      <c r="AP38" s="711" t="s">
        <v>3120</v>
      </c>
      <c r="AQ38" s="708" t="n">
        <v>3</v>
      </c>
      <c r="AR38" s="708" t="n">
        <v>1</v>
      </c>
      <c r="AS38" s="708" t="s">
        <v>2748</v>
      </c>
      <c r="AT38" s="708" t="n">
        <v>8</v>
      </c>
      <c r="AU38" s="708" t="s">
        <v>2719</v>
      </c>
      <c r="AV38" s="709" t="s">
        <v>3121</v>
      </c>
      <c r="AW38" s="708" t="s">
        <v>2777</v>
      </c>
      <c r="AX38" s="712" t="s">
        <v>3122</v>
      </c>
    </row>
    <row r="39" customFormat="false" ht="12.75" hidden="false" customHeight="false" outlineLevel="0" collapsed="false">
      <c r="A39" s="706" t="n">
        <f aca="false">A38+1</f>
        <v>37</v>
      </c>
      <c r="B39" s="711" t="s">
        <v>3094</v>
      </c>
      <c r="C39" s="708" t="n">
        <v>3</v>
      </c>
      <c r="D39" s="708" t="n">
        <v>1</v>
      </c>
      <c r="E39" s="708" t="s">
        <v>2748</v>
      </c>
      <c r="F39" s="708" t="n">
        <v>6</v>
      </c>
      <c r="G39" s="708" t="s">
        <v>2981</v>
      </c>
      <c r="H39" s="709" t="s">
        <v>3095</v>
      </c>
      <c r="I39" s="708" t="s">
        <v>2785</v>
      </c>
      <c r="J39" s="712" t="s">
        <v>2847</v>
      </c>
      <c r="K39" s="706" t="n">
        <f aca="false">K38+1</f>
        <v>37</v>
      </c>
      <c r="L39" s="711" t="s">
        <v>3123</v>
      </c>
      <c r="M39" s="708" t="n">
        <v>3</v>
      </c>
      <c r="N39" s="708" t="n">
        <v>1</v>
      </c>
      <c r="O39" s="708" t="s">
        <v>3124</v>
      </c>
      <c r="P39" s="708" t="s">
        <v>2754</v>
      </c>
      <c r="Q39" s="708" t="s">
        <v>2755</v>
      </c>
      <c r="R39" s="709" t="s">
        <v>3125</v>
      </c>
      <c r="S39" s="708" t="s">
        <v>2764</v>
      </c>
      <c r="T39" s="712" t="s">
        <v>3058</v>
      </c>
      <c r="U39" s="706" t="n">
        <f aca="false">U38+1</f>
        <v>37</v>
      </c>
      <c r="V39" s="728" t="s">
        <v>3126</v>
      </c>
      <c r="W39" s="729" t="n">
        <v>3</v>
      </c>
      <c r="X39" s="729" t="n">
        <v>1</v>
      </c>
      <c r="Y39" s="730" t="s">
        <v>2748</v>
      </c>
      <c r="Z39" s="729" t="n">
        <v>9</v>
      </c>
      <c r="AA39" s="729" t="s">
        <v>3127</v>
      </c>
      <c r="AB39" s="729" t="s">
        <v>3128</v>
      </c>
      <c r="AC39" s="729" t="s">
        <v>2836</v>
      </c>
      <c r="AD39" s="725" t="s">
        <v>3011</v>
      </c>
      <c r="AE39" s="716" t="n">
        <f aca="false">AE38+1</f>
        <v>37</v>
      </c>
      <c r="AF39" s="720" t="s">
        <v>3129</v>
      </c>
      <c r="AG39" s="714" t="n">
        <v>4</v>
      </c>
      <c r="AH39" s="714" t="n">
        <v>2</v>
      </c>
      <c r="AI39" s="715" t="s">
        <v>3130</v>
      </c>
      <c r="AJ39" s="714" t="s">
        <v>2718</v>
      </c>
      <c r="AK39" s="714" t="s">
        <v>2856</v>
      </c>
      <c r="AL39" s="714" t="s">
        <v>2858</v>
      </c>
      <c r="AM39" s="714" t="s">
        <v>2751</v>
      </c>
      <c r="AN39" s="712" t="s">
        <v>2781</v>
      </c>
      <c r="AO39" s="716" t="n">
        <f aca="false">AO38+1</f>
        <v>37</v>
      </c>
      <c r="AP39" s="720" t="s">
        <v>3102</v>
      </c>
      <c r="AQ39" s="714" t="n">
        <v>3</v>
      </c>
      <c r="AR39" s="714" t="n">
        <v>1</v>
      </c>
      <c r="AS39" s="715" t="s">
        <v>2748</v>
      </c>
      <c r="AT39" s="714" t="s">
        <v>2718</v>
      </c>
      <c r="AU39" s="714" t="s">
        <v>2719</v>
      </c>
      <c r="AV39" s="714" t="s">
        <v>3103</v>
      </c>
      <c r="AW39" s="714" t="s">
        <v>3027</v>
      </c>
      <c r="AX39" s="712" t="s">
        <v>2885</v>
      </c>
    </row>
    <row r="40" customFormat="false" ht="12.75" hidden="false" customHeight="false" outlineLevel="0" collapsed="false">
      <c r="A40" s="706" t="n">
        <f aca="false">A39+1</f>
        <v>38</v>
      </c>
      <c r="B40" s="711" t="s">
        <v>3131</v>
      </c>
      <c r="C40" s="708" t="n">
        <v>3</v>
      </c>
      <c r="D40" s="708" t="n">
        <v>1</v>
      </c>
      <c r="E40" s="708" t="s">
        <v>3005</v>
      </c>
      <c r="F40" s="708" t="n">
        <v>6</v>
      </c>
      <c r="G40" s="708" t="s">
        <v>2719</v>
      </c>
      <c r="H40" s="709" t="s">
        <v>2772</v>
      </c>
      <c r="I40" s="708" t="s">
        <v>2910</v>
      </c>
      <c r="J40" s="712" t="s">
        <v>2871</v>
      </c>
      <c r="K40" s="706" t="n">
        <f aca="false">K39+1</f>
        <v>38</v>
      </c>
      <c r="L40" s="711" t="s">
        <v>3132</v>
      </c>
      <c r="M40" s="708" t="n">
        <v>3</v>
      </c>
      <c r="N40" s="708" t="n">
        <v>1</v>
      </c>
      <c r="O40" s="708" t="s">
        <v>2748</v>
      </c>
      <c r="P40" s="708" t="s">
        <v>2718</v>
      </c>
      <c r="Q40" s="708" t="s">
        <v>2794</v>
      </c>
      <c r="R40" s="709" t="s">
        <v>3133</v>
      </c>
      <c r="S40" s="708" t="s">
        <v>2751</v>
      </c>
      <c r="T40" s="712" t="s">
        <v>2833</v>
      </c>
      <c r="U40" s="706" t="n">
        <f aca="false">U39+1</f>
        <v>38</v>
      </c>
      <c r="V40" s="713" t="s">
        <v>3134</v>
      </c>
      <c r="W40" s="714" t="n">
        <v>4</v>
      </c>
      <c r="X40" s="714" t="n">
        <v>2</v>
      </c>
      <c r="Y40" s="715" t="s">
        <v>3135</v>
      </c>
      <c r="Z40" s="714" t="s">
        <v>2754</v>
      </c>
      <c r="AA40" s="714" t="s">
        <v>2891</v>
      </c>
      <c r="AB40" s="714" t="s">
        <v>3136</v>
      </c>
      <c r="AC40" s="714" t="s">
        <v>2764</v>
      </c>
      <c r="AD40" s="712" t="s">
        <v>2899</v>
      </c>
      <c r="AE40" s="716" t="n">
        <f aca="false">AE39+1</f>
        <v>38</v>
      </c>
      <c r="AF40" s="720" t="s">
        <v>3137</v>
      </c>
      <c r="AG40" s="714" t="n">
        <v>4</v>
      </c>
      <c r="AH40" s="714" t="n">
        <v>1</v>
      </c>
      <c r="AI40" s="715" t="s">
        <v>3138</v>
      </c>
      <c r="AJ40" s="714" t="s">
        <v>2718</v>
      </c>
      <c r="AK40" s="714" t="s">
        <v>2755</v>
      </c>
      <c r="AL40" s="714" t="s">
        <v>3139</v>
      </c>
      <c r="AM40" s="714" t="s">
        <v>3027</v>
      </c>
      <c r="AN40" s="712" t="s">
        <v>3140</v>
      </c>
      <c r="AO40" s="716" t="n">
        <f aca="false">AO39+1</f>
        <v>38</v>
      </c>
      <c r="AP40" s="722" t="s">
        <v>3141</v>
      </c>
      <c r="AQ40" s="723" t="n">
        <v>3</v>
      </c>
      <c r="AR40" s="723" t="n">
        <v>1</v>
      </c>
      <c r="AS40" s="723" t="s">
        <v>3070</v>
      </c>
      <c r="AT40" s="723" t="s">
        <v>2718</v>
      </c>
      <c r="AU40" s="723" t="s">
        <v>2755</v>
      </c>
      <c r="AV40" s="724" t="s">
        <v>2731</v>
      </c>
      <c r="AW40" s="723" t="s">
        <v>2854</v>
      </c>
      <c r="AX40" s="725" t="s">
        <v>3142</v>
      </c>
    </row>
    <row r="41" customFormat="false" ht="12.75" hidden="false" customHeight="false" outlineLevel="0" collapsed="false">
      <c r="A41" s="706" t="n">
        <f aca="false">A40+1</f>
        <v>39</v>
      </c>
      <c r="B41" s="711" t="s">
        <v>3143</v>
      </c>
      <c r="C41" s="708" t="n">
        <v>3</v>
      </c>
      <c r="D41" s="708" t="n">
        <v>1</v>
      </c>
      <c r="E41" s="708" t="s">
        <v>2748</v>
      </c>
      <c r="F41" s="708" t="s">
        <v>2754</v>
      </c>
      <c r="G41" s="708" t="s">
        <v>2776</v>
      </c>
      <c r="H41" s="709" t="s">
        <v>3144</v>
      </c>
      <c r="I41" s="708" t="s">
        <v>2777</v>
      </c>
      <c r="J41" s="712" t="s">
        <v>2948</v>
      </c>
      <c r="K41" s="706" t="n">
        <f aca="false">K40+1</f>
        <v>39</v>
      </c>
      <c r="L41" s="711" t="s">
        <v>3145</v>
      </c>
      <c r="M41" s="708" t="n">
        <v>3</v>
      </c>
      <c r="N41" s="708" t="n">
        <v>1</v>
      </c>
      <c r="O41" s="708" t="s">
        <v>2748</v>
      </c>
      <c r="P41" s="708" t="s">
        <v>2718</v>
      </c>
      <c r="Q41" s="708" t="s">
        <v>2719</v>
      </c>
      <c r="R41" s="709" t="s">
        <v>3146</v>
      </c>
      <c r="S41" s="708" t="s">
        <v>2721</v>
      </c>
      <c r="T41" s="712" t="s">
        <v>2948</v>
      </c>
      <c r="U41" s="706" t="n">
        <f aca="false">U40+1</f>
        <v>39</v>
      </c>
      <c r="V41" s="713" t="s">
        <v>3147</v>
      </c>
      <c r="W41" s="714" t="n">
        <v>4</v>
      </c>
      <c r="X41" s="714" t="n">
        <v>2</v>
      </c>
      <c r="Y41" s="715" t="s">
        <v>2887</v>
      </c>
      <c r="Z41" s="714" t="n">
        <v>6</v>
      </c>
      <c r="AA41" s="714" t="s">
        <v>2755</v>
      </c>
      <c r="AB41" s="714" t="s">
        <v>2731</v>
      </c>
      <c r="AC41" s="714" t="s">
        <v>2854</v>
      </c>
      <c r="AD41" s="712" t="s">
        <v>2727</v>
      </c>
      <c r="AE41" s="716" t="n">
        <f aca="false">AE40+1</f>
        <v>39</v>
      </c>
      <c r="AF41" s="720" t="s">
        <v>3148</v>
      </c>
      <c r="AG41" s="714" t="n">
        <v>4</v>
      </c>
      <c r="AH41" s="714" t="n">
        <v>2</v>
      </c>
      <c r="AI41" s="715" t="s">
        <v>3008</v>
      </c>
      <c r="AJ41" s="714" t="s">
        <v>2718</v>
      </c>
      <c r="AK41" s="714" t="s">
        <v>3149</v>
      </c>
      <c r="AL41" s="714" t="s">
        <v>3150</v>
      </c>
      <c r="AM41" s="714" t="s">
        <v>2854</v>
      </c>
      <c r="AN41" s="712" t="s">
        <v>2760</v>
      </c>
      <c r="AO41" s="716" t="n">
        <f aca="false">AO40+1</f>
        <v>39</v>
      </c>
      <c r="AP41" s="707" t="s">
        <v>3151</v>
      </c>
      <c r="AQ41" s="213" t="n">
        <v>4</v>
      </c>
      <c r="AR41" s="213" t="n">
        <v>1</v>
      </c>
      <c r="AS41" s="213" t="s">
        <v>3152</v>
      </c>
      <c r="AT41" s="213" t="s">
        <v>2754</v>
      </c>
      <c r="AU41" s="213" t="s">
        <v>3153</v>
      </c>
      <c r="AV41" s="212" t="s">
        <v>3154</v>
      </c>
      <c r="AW41" s="213" t="s">
        <v>2777</v>
      </c>
      <c r="AX41" s="710" t="s">
        <v>2722</v>
      </c>
    </row>
    <row r="42" customFormat="false" ht="12.75" hidden="false" customHeight="false" outlineLevel="0" collapsed="false">
      <c r="A42" s="706" t="n">
        <f aca="false">A41+1</f>
        <v>40</v>
      </c>
      <c r="B42" s="711" t="s">
        <v>3155</v>
      </c>
      <c r="C42" s="708" t="n">
        <v>3</v>
      </c>
      <c r="D42" s="708" t="n">
        <v>3</v>
      </c>
      <c r="E42" s="708" t="s">
        <v>3043</v>
      </c>
      <c r="F42" s="708" t="n">
        <v>6</v>
      </c>
      <c r="G42" s="708" t="s">
        <v>3156</v>
      </c>
      <c r="H42" s="709" t="s">
        <v>2967</v>
      </c>
      <c r="I42" s="708" t="s">
        <v>2737</v>
      </c>
      <c r="J42" s="712" t="s">
        <v>2868</v>
      </c>
      <c r="K42" s="706" t="n">
        <f aca="false">K41+1</f>
        <v>40</v>
      </c>
      <c r="L42" s="711" t="s">
        <v>3104</v>
      </c>
      <c r="M42" s="708" t="n">
        <v>3</v>
      </c>
      <c r="N42" s="708" t="n">
        <v>1</v>
      </c>
      <c r="O42" s="708" t="s">
        <v>2748</v>
      </c>
      <c r="P42" s="708" t="s">
        <v>2718</v>
      </c>
      <c r="Q42" s="708" t="s">
        <v>2794</v>
      </c>
      <c r="R42" s="709" t="s">
        <v>3105</v>
      </c>
      <c r="S42" s="708" t="s">
        <v>2785</v>
      </c>
      <c r="T42" s="712" t="s">
        <v>3106</v>
      </c>
      <c r="U42" s="706" t="n">
        <f aca="false">U41+1</f>
        <v>40</v>
      </c>
      <c r="V42" s="713" t="s">
        <v>3157</v>
      </c>
      <c r="W42" s="714" t="n">
        <v>4</v>
      </c>
      <c r="X42" s="714" t="n">
        <v>2</v>
      </c>
      <c r="Y42" s="715" t="s">
        <v>2887</v>
      </c>
      <c r="Z42" s="714" t="n">
        <v>8</v>
      </c>
      <c r="AA42" s="714" t="s">
        <v>3158</v>
      </c>
      <c r="AB42" s="714" t="s">
        <v>3159</v>
      </c>
      <c r="AC42" s="714" t="s">
        <v>2941</v>
      </c>
      <c r="AD42" s="712" t="s">
        <v>2917</v>
      </c>
      <c r="AE42" s="716" t="n">
        <f aca="false">AE41+1</f>
        <v>40</v>
      </c>
      <c r="AF42" s="720" t="s">
        <v>3160</v>
      </c>
      <c r="AG42" s="714" t="n">
        <v>4</v>
      </c>
      <c r="AH42" s="714" t="n">
        <v>0</v>
      </c>
      <c r="AI42" s="715" t="s">
        <v>3161</v>
      </c>
      <c r="AJ42" s="714" t="s">
        <v>2718</v>
      </c>
      <c r="AK42" s="714" t="s">
        <v>2749</v>
      </c>
      <c r="AL42" s="714" t="s">
        <v>3162</v>
      </c>
      <c r="AM42" s="714" t="s">
        <v>2854</v>
      </c>
      <c r="AN42" s="712" t="s">
        <v>2807</v>
      </c>
      <c r="AO42" s="716" t="n">
        <f aca="false">AO41+1</f>
        <v>40</v>
      </c>
      <c r="AP42" s="711" t="s">
        <v>3163</v>
      </c>
      <c r="AQ42" s="708" t="n">
        <v>4</v>
      </c>
      <c r="AR42" s="708" t="n">
        <v>2</v>
      </c>
      <c r="AS42" s="708" t="s">
        <v>3130</v>
      </c>
      <c r="AT42" s="708" t="s">
        <v>2718</v>
      </c>
      <c r="AU42" s="708" t="s">
        <v>2891</v>
      </c>
      <c r="AV42" s="709" t="s">
        <v>3164</v>
      </c>
      <c r="AW42" s="708" t="s">
        <v>2751</v>
      </c>
      <c r="AX42" s="712" t="s">
        <v>2917</v>
      </c>
    </row>
    <row r="43" customFormat="false" ht="12.75" hidden="false" customHeight="false" outlineLevel="0" collapsed="false">
      <c r="A43" s="706" t="n">
        <f aca="false">A42+1</f>
        <v>41</v>
      </c>
      <c r="B43" s="711" t="s">
        <v>3165</v>
      </c>
      <c r="C43" s="708" t="n">
        <v>3</v>
      </c>
      <c r="D43" s="708" t="n">
        <v>1</v>
      </c>
      <c r="E43" s="708" t="s">
        <v>3052</v>
      </c>
      <c r="F43" s="708" t="n">
        <v>6</v>
      </c>
      <c r="G43" s="708" t="s">
        <v>2755</v>
      </c>
      <c r="H43" s="709" t="s">
        <v>3166</v>
      </c>
      <c r="I43" s="708" t="s">
        <v>2992</v>
      </c>
      <c r="J43" s="712" t="s">
        <v>3106</v>
      </c>
      <c r="K43" s="706" t="n">
        <f aca="false">K42+1</f>
        <v>41</v>
      </c>
      <c r="L43" s="711" t="s">
        <v>3167</v>
      </c>
      <c r="M43" s="708" t="n">
        <v>3</v>
      </c>
      <c r="N43" s="708" t="n">
        <v>3</v>
      </c>
      <c r="O43" s="708" t="s">
        <v>3135</v>
      </c>
      <c r="P43" s="708" t="s">
        <v>2754</v>
      </c>
      <c r="Q43" s="708" t="s">
        <v>2730</v>
      </c>
      <c r="R43" s="709" t="s">
        <v>3125</v>
      </c>
      <c r="S43" s="708" t="s">
        <v>2751</v>
      </c>
      <c r="T43" s="712" t="s">
        <v>3011</v>
      </c>
      <c r="U43" s="706" t="n">
        <f aca="false">U42+1</f>
        <v>41</v>
      </c>
      <c r="V43" s="713" t="s">
        <v>3168</v>
      </c>
      <c r="W43" s="714" t="n">
        <v>4</v>
      </c>
      <c r="X43" s="714" t="n">
        <v>1</v>
      </c>
      <c r="Y43" s="715" t="s">
        <v>3063</v>
      </c>
      <c r="Z43" s="714" t="s">
        <v>2754</v>
      </c>
      <c r="AA43" s="714" t="s">
        <v>2749</v>
      </c>
      <c r="AB43" s="714" t="s">
        <v>3169</v>
      </c>
      <c r="AC43" s="714" t="s">
        <v>2757</v>
      </c>
      <c r="AD43" s="712" t="s">
        <v>2773</v>
      </c>
      <c r="AE43" s="716" t="n">
        <f aca="false">AE42+1</f>
        <v>41</v>
      </c>
      <c r="AF43" s="720" t="s">
        <v>3170</v>
      </c>
      <c r="AG43" s="714" t="n">
        <v>4</v>
      </c>
      <c r="AH43" s="714" t="n">
        <v>1</v>
      </c>
      <c r="AI43" s="715" t="s">
        <v>2984</v>
      </c>
      <c r="AJ43" s="714" t="s">
        <v>2718</v>
      </c>
      <c r="AK43" s="714" t="s">
        <v>2755</v>
      </c>
      <c r="AL43" s="714" t="s">
        <v>3171</v>
      </c>
      <c r="AM43" s="714" t="s">
        <v>2721</v>
      </c>
      <c r="AN43" s="712" t="s">
        <v>2830</v>
      </c>
      <c r="AO43" s="716" t="n">
        <f aca="false">AO42+1</f>
        <v>41</v>
      </c>
      <c r="AP43" s="720" t="s">
        <v>3137</v>
      </c>
      <c r="AQ43" s="714" t="n">
        <v>4</v>
      </c>
      <c r="AR43" s="714" t="n">
        <v>1</v>
      </c>
      <c r="AS43" s="715" t="s">
        <v>3138</v>
      </c>
      <c r="AT43" s="714" t="s">
        <v>2718</v>
      </c>
      <c r="AU43" s="714" t="s">
        <v>2755</v>
      </c>
      <c r="AV43" s="714" t="s">
        <v>3139</v>
      </c>
      <c r="AW43" s="714" t="s">
        <v>3027</v>
      </c>
      <c r="AX43" s="712" t="s">
        <v>3140</v>
      </c>
    </row>
    <row r="44" customFormat="false" ht="12.75" hidden="false" customHeight="false" outlineLevel="0" collapsed="false">
      <c r="A44" s="706" t="n">
        <f aca="false">A43+1</f>
        <v>42</v>
      </c>
      <c r="B44" s="711" t="s">
        <v>3172</v>
      </c>
      <c r="C44" s="708" t="n">
        <v>3</v>
      </c>
      <c r="D44" s="708" t="n">
        <v>2</v>
      </c>
      <c r="E44" s="708" t="s">
        <v>2748</v>
      </c>
      <c r="F44" s="708" t="s">
        <v>2754</v>
      </c>
      <c r="G44" s="708" t="s">
        <v>2719</v>
      </c>
      <c r="H44" s="709" t="s">
        <v>3173</v>
      </c>
      <c r="I44" s="708" t="s">
        <v>2777</v>
      </c>
      <c r="J44" s="712" t="s">
        <v>3106</v>
      </c>
      <c r="K44" s="706" t="n">
        <f aca="false">K43+1</f>
        <v>42</v>
      </c>
      <c r="L44" s="707" t="s">
        <v>3174</v>
      </c>
      <c r="M44" s="213" t="n">
        <v>4</v>
      </c>
      <c r="N44" s="213" t="n">
        <v>1</v>
      </c>
      <c r="O44" s="213" t="s">
        <v>3152</v>
      </c>
      <c r="P44" s="213" t="s">
        <v>2718</v>
      </c>
      <c r="Q44" s="213" t="s">
        <v>2794</v>
      </c>
      <c r="R44" s="212" t="s">
        <v>3175</v>
      </c>
      <c r="S44" s="213" t="s">
        <v>2785</v>
      </c>
      <c r="T44" s="710" t="s">
        <v>2985</v>
      </c>
      <c r="U44" s="706" t="n">
        <f aca="false">U43+1</f>
        <v>42</v>
      </c>
      <c r="V44" s="713" t="s">
        <v>3176</v>
      </c>
      <c r="W44" s="714" t="n">
        <v>4</v>
      </c>
      <c r="X44" s="714" t="n">
        <v>2</v>
      </c>
      <c r="Y44" s="715" t="s">
        <v>2887</v>
      </c>
      <c r="Z44" s="714" t="s">
        <v>2718</v>
      </c>
      <c r="AA44" s="714" t="s">
        <v>2749</v>
      </c>
      <c r="AB44" s="714" t="s">
        <v>3177</v>
      </c>
      <c r="AC44" s="714" t="s">
        <v>2796</v>
      </c>
      <c r="AD44" s="712" t="s">
        <v>2932</v>
      </c>
      <c r="AE44" s="716" t="n">
        <f aca="false">AE43+1</f>
        <v>42</v>
      </c>
      <c r="AF44" s="720" t="s">
        <v>3178</v>
      </c>
      <c r="AG44" s="714" t="n">
        <v>4</v>
      </c>
      <c r="AH44" s="714" t="n">
        <v>1</v>
      </c>
      <c r="AI44" s="715" t="s">
        <v>3063</v>
      </c>
      <c r="AJ44" s="714" t="s">
        <v>2718</v>
      </c>
      <c r="AK44" s="714" t="s">
        <v>2891</v>
      </c>
      <c r="AL44" s="714" t="s">
        <v>3179</v>
      </c>
      <c r="AM44" s="714" t="s">
        <v>2732</v>
      </c>
      <c r="AN44" s="712" t="s">
        <v>2830</v>
      </c>
      <c r="AO44" s="716" t="n">
        <f aca="false">AO43+1</f>
        <v>42</v>
      </c>
      <c r="AP44" s="711" t="s">
        <v>3180</v>
      </c>
      <c r="AQ44" s="708" t="n">
        <v>4</v>
      </c>
      <c r="AR44" s="708" t="n">
        <v>3</v>
      </c>
      <c r="AS44" s="708" t="s">
        <v>3043</v>
      </c>
      <c r="AT44" s="708" t="n">
        <v>6</v>
      </c>
      <c r="AU44" s="708" t="s">
        <v>2719</v>
      </c>
      <c r="AV44" s="709" t="s">
        <v>3181</v>
      </c>
      <c r="AW44" s="708" t="s">
        <v>2995</v>
      </c>
      <c r="AX44" s="712" t="s">
        <v>2922</v>
      </c>
    </row>
    <row r="45" customFormat="false" ht="12.75" hidden="false" customHeight="false" outlineLevel="0" collapsed="false">
      <c r="A45" s="706" t="n">
        <f aca="false">A44+1</f>
        <v>43</v>
      </c>
      <c r="B45" s="711" t="s">
        <v>3111</v>
      </c>
      <c r="C45" s="708" t="n">
        <v>3</v>
      </c>
      <c r="D45" s="708" t="n">
        <v>2</v>
      </c>
      <c r="E45" s="708" t="s">
        <v>3052</v>
      </c>
      <c r="F45" s="708" t="n">
        <v>6</v>
      </c>
      <c r="G45" s="708" t="s">
        <v>2755</v>
      </c>
      <c r="H45" s="709" t="s">
        <v>3112</v>
      </c>
      <c r="I45" s="708" t="s">
        <v>2721</v>
      </c>
      <c r="J45" s="712" t="s">
        <v>3011</v>
      </c>
      <c r="K45" s="706" t="n">
        <f aca="false">K44+1</f>
        <v>43</v>
      </c>
      <c r="L45" s="711" t="s">
        <v>3182</v>
      </c>
      <c r="M45" s="708" t="n">
        <v>4</v>
      </c>
      <c r="N45" s="708" t="n">
        <v>1</v>
      </c>
      <c r="O45" s="708" t="s">
        <v>3063</v>
      </c>
      <c r="P45" s="708" t="s">
        <v>2754</v>
      </c>
      <c r="Q45" s="708" t="s">
        <v>2719</v>
      </c>
      <c r="R45" s="709" t="s">
        <v>3183</v>
      </c>
      <c r="S45" s="708" t="s">
        <v>3001</v>
      </c>
      <c r="T45" s="712" t="s">
        <v>2781</v>
      </c>
      <c r="U45" s="706" t="n">
        <f aca="false">U44+1</f>
        <v>43</v>
      </c>
      <c r="V45" s="713" t="s">
        <v>3184</v>
      </c>
      <c r="W45" s="714" t="n">
        <v>4</v>
      </c>
      <c r="X45" s="714" t="n">
        <v>3</v>
      </c>
      <c r="Y45" s="715" t="s">
        <v>2928</v>
      </c>
      <c r="Z45" s="714" t="s">
        <v>2718</v>
      </c>
      <c r="AA45" s="714" t="s">
        <v>2749</v>
      </c>
      <c r="AB45" s="714" t="s">
        <v>2731</v>
      </c>
      <c r="AC45" s="714" t="s">
        <v>2737</v>
      </c>
      <c r="AD45" s="712" t="s">
        <v>3061</v>
      </c>
      <c r="AE45" s="716" t="n">
        <f aca="false">AE44+1</f>
        <v>43</v>
      </c>
      <c r="AF45" s="720" t="s">
        <v>3185</v>
      </c>
      <c r="AG45" s="714" t="n">
        <v>4</v>
      </c>
      <c r="AH45" s="714" t="n">
        <v>4</v>
      </c>
      <c r="AI45" s="715" t="s">
        <v>3186</v>
      </c>
      <c r="AJ45" s="714" t="s">
        <v>2718</v>
      </c>
      <c r="AK45" s="714" t="s">
        <v>2736</v>
      </c>
      <c r="AL45" s="714" t="s">
        <v>2858</v>
      </c>
      <c r="AM45" s="714" t="s">
        <v>2921</v>
      </c>
      <c r="AN45" s="712" t="s">
        <v>2843</v>
      </c>
      <c r="AO45" s="716" t="n">
        <f aca="false">AO44+1</f>
        <v>43</v>
      </c>
      <c r="AP45" s="711" t="s">
        <v>3187</v>
      </c>
      <c r="AQ45" s="708" t="n">
        <v>4</v>
      </c>
      <c r="AR45" s="708" t="n">
        <v>2</v>
      </c>
      <c r="AS45" s="708" t="s">
        <v>3063</v>
      </c>
      <c r="AT45" s="708" t="s">
        <v>2718</v>
      </c>
      <c r="AU45" s="708" t="s">
        <v>2719</v>
      </c>
      <c r="AV45" s="709" t="s">
        <v>2772</v>
      </c>
      <c r="AW45" s="708" t="s">
        <v>2941</v>
      </c>
      <c r="AX45" s="712" t="s">
        <v>2786</v>
      </c>
    </row>
    <row r="46" customFormat="false" ht="12.75" hidden="false" customHeight="false" outlineLevel="0" collapsed="false">
      <c r="A46" s="706" t="n">
        <f aca="false">A45+1</f>
        <v>44</v>
      </c>
      <c r="B46" s="711" t="s">
        <v>3120</v>
      </c>
      <c r="C46" s="708" t="n">
        <v>3</v>
      </c>
      <c r="D46" s="708" t="n">
        <v>1</v>
      </c>
      <c r="E46" s="708" t="s">
        <v>2748</v>
      </c>
      <c r="F46" s="708" t="n">
        <v>8</v>
      </c>
      <c r="G46" s="708" t="s">
        <v>2719</v>
      </c>
      <c r="H46" s="709" t="s">
        <v>3121</v>
      </c>
      <c r="I46" s="708" t="s">
        <v>2777</v>
      </c>
      <c r="J46" s="712" t="s">
        <v>3122</v>
      </c>
      <c r="K46" s="706" t="n">
        <f aca="false">K45+1</f>
        <v>44</v>
      </c>
      <c r="L46" s="711" t="s">
        <v>3180</v>
      </c>
      <c r="M46" s="708" t="n">
        <v>4</v>
      </c>
      <c r="N46" s="708" t="n">
        <v>3</v>
      </c>
      <c r="O46" s="708" t="s">
        <v>3043</v>
      </c>
      <c r="P46" s="708" t="n">
        <v>6</v>
      </c>
      <c r="Q46" s="708" t="s">
        <v>2719</v>
      </c>
      <c r="R46" s="709" t="s">
        <v>3181</v>
      </c>
      <c r="S46" s="708" t="s">
        <v>2995</v>
      </c>
      <c r="T46" s="712" t="s">
        <v>2922</v>
      </c>
      <c r="U46" s="706" t="n">
        <f aca="false">U45+1</f>
        <v>44</v>
      </c>
      <c r="V46" s="713" t="s">
        <v>3188</v>
      </c>
      <c r="W46" s="714" t="n">
        <v>4</v>
      </c>
      <c r="X46" s="714" t="n">
        <v>2</v>
      </c>
      <c r="Y46" s="715" t="s">
        <v>3063</v>
      </c>
      <c r="Z46" s="714" t="s">
        <v>2718</v>
      </c>
      <c r="AA46" s="714" t="s">
        <v>2794</v>
      </c>
      <c r="AB46" s="714" t="s">
        <v>2731</v>
      </c>
      <c r="AC46" s="714" t="s">
        <v>2854</v>
      </c>
      <c r="AD46" s="712" t="s">
        <v>2837</v>
      </c>
      <c r="AE46" s="716" t="n">
        <f aca="false">AE45+1</f>
        <v>44</v>
      </c>
      <c r="AF46" s="720" t="s">
        <v>3189</v>
      </c>
      <c r="AG46" s="714" t="n">
        <v>4</v>
      </c>
      <c r="AH46" s="714" t="n">
        <v>2</v>
      </c>
      <c r="AI46" s="715" t="s">
        <v>3130</v>
      </c>
      <c r="AJ46" s="714" t="s">
        <v>2960</v>
      </c>
      <c r="AK46" s="714" t="s">
        <v>2776</v>
      </c>
      <c r="AL46" s="714" t="s">
        <v>2731</v>
      </c>
      <c r="AM46" s="714" t="s">
        <v>3001</v>
      </c>
      <c r="AN46" s="712" t="s">
        <v>3190</v>
      </c>
      <c r="AO46" s="716" t="n">
        <f aca="false">AO45+1</f>
        <v>44</v>
      </c>
      <c r="AP46" s="720" t="s">
        <v>3148</v>
      </c>
      <c r="AQ46" s="714" t="n">
        <v>4</v>
      </c>
      <c r="AR46" s="714" t="n">
        <v>2</v>
      </c>
      <c r="AS46" s="715" t="s">
        <v>3008</v>
      </c>
      <c r="AT46" s="714" t="s">
        <v>2718</v>
      </c>
      <c r="AU46" s="714" t="s">
        <v>3149</v>
      </c>
      <c r="AV46" s="714" t="s">
        <v>3150</v>
      </c>
      <c r="AW46" s="714" t="s">
        <v>2854</v>
      </c>
      <c r="AX46" s="712" t="s">
        <v>2760</v>
      </c>
    </row>
    <row r="47" customFormat="false" ht="12.75" hidden="false" customHeight="false" outlineLevel="0" collapsed="false">
      <c r="A47" s="706" t="n">
        <f aca="false">A46+1</f>
        <v>45</v>
      </c>
      <c r="B47" s="711" t="s">
        <v>3191</v>
      </c>
      <c r="C47" s="708" t="n">
        <v>3</v>
      </c>
      <c r="D47" s="708" t="n">
        <v>2</v>
      </c>
      <c r="E47" s="708" t="s">
        <v>3043</v>
      </c>
      <c r="F47" s="708" t="n">
        <v>6</v>
      </c>
      <c r="G47" s="708" t="s">
        <v>2755</v>
      </c>
      <c r="H47" s="709" t="s">
        <v>2759</v>
      </c>
      <c r="I47" s="708" t="s">
        <v>2737</v>
      </c>
      <c r="J47" s="712" t="s">
        <v>3122</v>
      </c>
      <c r="K47" s="706" t="n">
        <f aca="false">K46+1</f>
        <v>45</v>
      </c>
      <c r="L47" s="711" t="s">
        <v>3192</v>
      </c>
      <c r="M47" s="708" t="n">
        <v>4</v>
      </c>
      <c r="N47" s="708" t="n">
        <v>1</v>
      </c>
      <c r="O47" s="708" t="s">
        <v>3043</v>
      </c>
      <c r="P47" s="708" t="s">
        <v>2718</v>
      </c>
      <c r="Q47" s="708" t="s">
        <v>2891</v>
      </c>
      <c r="R47" s="709" t="s">
        <v>2750</v>
      </c>
      <c r="S47" s="708" t="s">
        <v>2726</v>
      </c>
      <c r="T47" s="712" t="s">
        <v>2922</v>
      </c>
      <c r="U47" s="706" t="n">
        <f aca="false">U46+1</f>
        <v>45</v>
      </c>
      <c r="V47" s="713" t="s">
        <v>3193</v>
      </c>
      <c r="W47" s="714" t="n">
        <v>4</v>
      </c>
      <c r="X47" s="714" t="n">
        <v>1</v>
      </c>
      <c r="Y47" s="715" t="s">
        <v>2887</v>
      </c>
      <c r="Z47" s="714" t="s">
        <v>2718</v>
      </c>
      <c r="AA47" s="714" t="s">
        <v>2719</v>
      </c>
      <c r="AB47" s="714" t="s">
        <v>3194</v>
      </c>
      <c r="AC47" s="714" t="s">
        <v>2732</v>
      </c>
      <c r="AD47" s="712" t="s">
        <v>2851</v>
      </c>
      <c r="AE47" s="716" t="n">
        <f aca="false">AE46+1</f>
        <v>45</v>
      </c>
      <c r="AF47" s="720" t="s">
        <v>3195</v>
      </c>
      <c r="AG47" s="714" t="n">
        <v>4</v>
      </c>
      <c r="AH47" s="714" t="n">
        <v>4</v>
      </c>
      <c r="AI47" s="715" t="s">
        <v>2748</v>
      </c>
      <c r="AJ47" s="714" t="s">
        <v>2754</v>
      </c>
      <c r="AK47" s="714" t="s">
        <v>2719</v>
      </c>
      <c r="AL47" s="714" t="s">
        <v>2772</v>
      </c>
      <c r="AM47" s="714" t="s">
        <v>2921</v>
      </c>
      <c r="AN47" s="712" t="s">
        <v>3190</v>
      </c>
      <c r="AO47" s="716" t="n">
        <f aca="false">AO46+1</f>
        <v>45</v>
      </c>
      <c r="AP47" s="711" t="s">
        <v>3196</v>
      </c>
      <c r="AQ47" s="708" t="n">
        <v>4</v>
      </c>
      <c r="AR47" s="708" t="n">
        <v>2</v>
      </c>
      <c r="AS47" s="708" t="s">
        <v>3063</v>
      </c>
      <c r="AT47" s="708" t="s">
        <v>2718</v>
      </c>
      <c r="AU47" s="708" t="s">
        <v>2755</v>
      </c>
      <c r="AV47" s="709" t="s">
        <v>3197</v>
      </c>
      <c r="AW47" s="708" t="s">
        <v>3027</v>
      </c>
      <c r="AX47" s="712" t="s">
        <v>2824</v>
      </c>
    </row>
    <row r="48" customFormat="false" ht="12.75" hidden="false" customHeight="false" outlineLevel="0" collapsed="false">
      <c r="A48" s="706" t="n">
        <f aca="false">A47+1</f>
        <v>46</v>
      </c>
      <c r="B48" s="711" t="s">
        <v>3141</v>
      </c>
      <c r="C48" s="708" t="n">
        <v>3</v>
      </c>
      <c r="D48" s="708" t="n">
        <v>1</v>
      </c>
      <c r="E48" s="708" t="s">
        <v>3070</v>
      </c>
      <c r="F48" s="708" t="s">
        <v>2718</v>
      </c>
      <c r="G48" s="708" t="s">
        <v>2755</v>
      </c>
      <c r="H48" s="709" t="s">
        <v>2731</v>
      </c>
      <c r="I48" s="708" t="s">
        <v>2854</v>
      </c>
      <c r="J48" s="712" t="s">
        <v>3142</v>
      </c>
      <c r="K48" s="706" t="n">
        <f aca="false">K47+1</f>
        <v>46</v>
      </c>
      <c r="L48" s="711" t="s">
        <v>3187</v>
      </c>
      <c r="M48" s="708" t="n">
        <v>4</v>
      </c>
      <c r="N48" s="708" t="n">
        <v>2</v>
      </c>
      <c r="O48" s="708" t="s">
        <v>3063</v>
      </c>
      <c r="P48" s="708" t="s">
        <v>2718</v>
      </c>
      <c r="Q48" s="708" t="s">
        <v>2719</v>
      </c>
      <c r="R48" s="709" t="s">
        <v>2772</v>
      </c>
      <c r="S48" s="708" t="s">
        <v>2941</v>
      </c>
      <c r="T48" s="712" t="s">
        <v>2786</v>
      </c>
      <c r="U48" s="706" t="n">
        <f aca="false">U47+1</f>
        <v>46</v>
      </c>
      <c r="V48" s="713" t="s">
        <v>3198</v>
      </c>
      <c r="W48" s="714" t="n">
        <v>4</v>
      </c>
      <c r="X48" s="714" t="n">
        <v>2</v>
      </c>
      <c r="Y48" s="715" t="s">
        <v>2887</v>
      </c>
      <c r="Z48" s="714" t="s">
        <v>2718</v>
      </c>
      <c r="AA48" s="714" t="s">
        <v>2755</v>
      </c>
      <c r="AB48" s="714" t="s">
        <v>3199</v>
      </c>
      <c r="AC48" s="714" t="s">
        <v>2737</v>
      </c>
      <c r="AD48" s="712" t="s">
        <v>3200</v>
      </c>
      <c r="AE48" s="716" t="n">
        <f aca="false">AE47+1</f>
        <v>46</v>
      </c>
      <c r="AF48" s="720" t="s">
        <v>3201</v>
      </c>
      <c r="AG48" s="714" t="n">
        <v>4</v>
      </c>
      <c r="AH48" s="714" t="n">
        <v>1</v>
      </c>
      <c r="AI48" s="715" t="s">
        <v>3130</v>
      </c>
      <c r="AJ48" s="714" t="s">
        <v>2718</v>
      </c>
      <c r="AK48" s="714" t="s">
        <v>2719</v>
      </c>
      <c r="AL48" s="714" t="s">
        <v>3202</v>
      </c>
      <c r="AM48" s="714" t="s">
        <v>2732</v>
      </c>
      <c r="AN48" s="712" t="s">
        <v>3190</v>
      </c>
      <c r="AO48" s="716" t="n">
        <f aca="false">AO47+1</f>
        <v>46</v>
      </c>
      <c r="AP48" s="713" t="s">
        <v>3184</v>
      </c>
      <c r="AQ48" s="714" t="n">
        <v>4</v>
      </c>
      <c r="AR48" s="714" t="n">
        <v>3</v>
      </c>
      <c r="AS48" s="715" t="s">
        <v>2928</v>
      </c>
      <c r="AT48" s="714" t="s">
        <v>2718</v>
      </c>
      <c r="AU48" s="714" t="s">
        <v>2749</v>
      </c>
      <c r="AV48" s="714" t="s">
        <v>2731</v>
      </c>
      <c r="AW48" s="714" t="s">
        <v>2737</v>
      </c>
      <c r="AX48" s="712" t="s">
        <v>3061</v>
      </c>
    </row>
    <row r="49" customFormat="false" ht="12.75" hidden="false" customHeight="false" outlineLevel="0" collapsed="false">
      <c r="A49" s="706" t="n">
        <f aca="false">A48+1</f>
        <v>47</v>
      </c>
      <c r="B49" s="707" t="s">
        <v>3151</v>
      </c>
      <c r="C49" s="213" t="n">
        <v>4</v>
      </c>
      <c r="D49" s="213" t="n">
        <v>1</v>
      </c>
      <c r="E49" s="213" t="s">
        <v>3152</v>
      </c>
      <c r="F49" s="213" t="s">
        <v>2754</v>
      </c>
      <c r="G49" s="213" t="s">
        <v>3153</v>
      </c>
      <c r="H49" s="212" t="s">
        <v>3154</v>
      </c>
      <c r="I49" s="213" t="s">
        <v>2777</v>
      </c>
      <c r="J49" s="710" t="s">
        <v>2722</v>
      </c>
      <c r="K49" s="706" t="n">
        <f aca="false">K48+1</f>
        <v>47</v>
      </c>
      <c r="L49" s="711" t="s">
        <v>3203</v>
      </c>
      <c r="M49" s="708" t="n">
        <v>4</v>
      </c>
      <c r="N49" s="708" t="n">
        <v>3</v>
      </c>
      <c r="O49" s="708" t="s">
        <v>2887</v>
      </c>
      <c r="P49" s="708" t="n">
        <v>6</v>
      </c>
      <c r="Q49" s="708" t="s">
        <v>2802</v>
      </c>
      <c r="R49" s="709" t="s">
        <v>2750</v>
      </c>
      <c r="S49" s="708" t="s">
        <v>2836</v>
      </c>
      <c r="T49" s="712" t="s">
        <v>2824</v>
      </c>
      <c r="U49" s="706" t="n">
        <f aca="false">U48+1</f>
        <v>47</v>
      </c>
      <c r="V49" s="713" t="s">
        <v>3204</v>
      </c>
      <c r="W49" s="714" t="n">
        <v>4</v>
      </c>
      <c r="X49" s="714" t="n">
        <v>3</v>
      </c>
      <c r="Y49" s="715" t="s">
        <v>3205</v>
      </c>
      <c r="Z49" s="714" t="s">
        <v>2718</v>
      </c>
      <c r="AA49" s="714" t="s">
        <v>2719</v>
      </c>
      <c r="AB49" s="714" t="s">
        <v>3206</v>
      </c>
      <c r="AC49" s="714" t="s">
        <v>3207</v>
      </c>
      <c r="AD49" s="712" t="s">
        <v>3208</v>
      </c>
      <c r="AE49" s="716" t="n">
        <f aca="false">AE48+1</f>
        <v>47</v>
      </c>
      <c r="AF49" s="720" t="s">
        <v>3209</v>
      </c>
      <c r="AG49" s="714" t="n">
        <v>4</v>
      </c>
      <c r="AH49" s="714" t="n">
        <v>3</v>
      </c>
      <c r="AI49" s="715" t="s">
        <v>3008</v>
      </c>
      <c r="AJ49" s="714" t="s">
        <v>2718</v>
      </c>
      <c r="AK49" s="714" t="s">
        <v>2719</v>
      </c>
      <c r="AL49" s="714" t="s">
        <v>2750</v>
      </c>
      <c r="AM49" s="714" t="s">
        <v>2732</v>
      </c>
      <c r="AN49" s="712" t="s">
        <v>2864</v>
      </c>
      <c r="AO49" s="716" t="n">
        <f aca="false">AO48+1</f>
        <v>47</v>
      </c>
      <c r="AP49" s="713" t="s">
        <v>3188</v>
      </c>
      <c r="AQ49" s="714" t="n">
        <v>4</v>
      </c>
      <c r="AR49" s="714" t="n">
        <v>2</v>
      </c>
      <c r="AS49" s="715" t="s">
        <v>3063</v>
      </c>
      <c r="AT49" s="714" t="s">
        <v>2718</v>
      </c>
      <c r="AU49" s="714" t="s">
        <v>2794</v>
      </c>
      <c r="AV49" s="714" t="s">
        <v>2731</v>
      </c>
      <c r="AW49" s="714" t="s">
        <v>2854</v>
      </c>
      <c r="AX49" s="712" t="s">
        <v>2837</v>
      </c>
    </row>
    <row r="50" customFormat="false" ht="12.75" hidden="false" customHeight="false" outlineLevel="0" collapsed="false">
      <c r="A50" s="706" t="n">
        <f aca="false">A49+1</f>
        <v>48</v>
      </c>
      <c r="B50" s="711" t="s">
        <v>3163</v>
      </c>
      <c r="C50" s="708" t="n">
        <v>4</v>
      </c>
      <c r="D50" s="708" t="n">
        <v>2</v>
      </c>
      <c r="E50" s="708" t="s">
        <v>3130</v>
      </c>
      <c r="F50" s="708" t="s">
        <v>2718</v>
      </c>
      <c r="G50" s="708" t="s">
        <v>2891</v>
      </c>
      <c r="H50" s="709" t="s">
        <v>3164</v>
      </c>
      <c r="I50" s="708" t="s">
        <v>2751</v>
      </c>
      <c r="J50" s="712" t="s">
        <v>2917</v>
      </c>
      <c r="K50" s="706" t="n">
        <f aca="false">K49+1</f>
        <v>48</v>
      </c>
      <c r="L50" s="711" t="s">
        <v>3210</v>
      </c>
      <c r="M50" s="708" t="n">
        <v>4</v>
      </c>
      <c r="N50" s="708" t="n">
        <v>1</v>
      </c>
      <c r="O50" s="726" t="s">
        <v>3138</v>
      </c>
      <c r="P50" s="708" t="s">
        <v>2754</v>
      </c>
      <c r="Q50" s="708" t="s">
        <v>2719</v>
      </c>
      <c r="R50" s="709" t="s">
        <v>3211</v>
      </c>
      <c r="S50" s="708" t="s">
        <v>3212</v>
      </c>
      <c r="T50" s="712" t="s">
        <v>2807</v>
      </c>
      <c r="U50" s="706" t="n">
        <f aca="false">U49+1</f>
        <v>48</v>
      </c>
      <c r="V50" s="713" t="s">
        <v>3213</v>
      </c>
      <c r="W50" s="714" t="n">
        <v>4</v>
      </c>
      <c r="X50" s="714" t="n">
        <v>1</v>
      </c>
      <c r="Y50" s="715" t="s">
        <v>2928</v>
      </c>
      <c r="Z50" s="714" t="n">
        <v>6</v>
      </c>
      <c r="AA50" s="714" t="s">
        <v>2719</v>
      </c>
      <c r="AB50" s="714" t="s">
        <v>3154</v>
      </c>
      <c r="AC50" s="714" t="s">
        <v>2768</v>
      </c>
      <c r="AD50" s="712" t="s">
        <v>2962</v>
      </c>
      <c r="AE50" s="716" t="n">
        <f aca="false">AE49+1</f>
        <v>48</v>
      </c>
      <c r="AF50" s="720" t="s">
        <v>3214</v>
      </c>
      <c r="AG50" s="714" t="n">
        <v>4</v>
      </c>
      <c r="AH50" s="714" t="n">
        <v>3</v>
      </c>
      <c r="AI50" s="715" t="s">
        <v>2748</v>
      </c>
      <c r="AJ50" s="714" t="s">
        <v>2718</v>
      </c>
      <c r="AK50" s="714" t="s">
        <v>2719</v>
      </c>
      <c r="AL50" s="714" t="s">
        <v>2858</v>
      </c>
      <c r="AM50" s="714" t="s">
        <v>3215</v>
      </c>
      <c r="AN50" s="712" t="s">
        <v>2871</v>
      </c>
      <c r="AO50" s="716" t="n">
        <f aca="false">AO49+1</f>
        <v>48</v>
      </c>
      <c r="AP50" s="711" t="s">
        <v>3216</v>
      </c>
      <c r="AQ50" s="708" t="n">
        <v>4</v>
      </c>
      <c r="AR50" s="708" t="n">
        <v>2</v>
      </c>
      <c r="AS50" s="708" t="s">
        <v>3217</v>
      </c>
      <c r="AT50" s="708" t="s">
        <v>3218</v>
      </c>
      <c r="AU50" s="708" t="s">
        <v>2749</v>
      </c>
      <c r="AV50" s="709" t="s">
        <v>2750</v>
      </c>
      <c r="AW50" s="708" t="s">
        <v>2757</v>
      </c>
      <c r="AX50" s="712" t="s">
        <v>2939</v>
      </c>
    </row>
    <row r="51" customFormat="false" ht="12.75" hidden="false" customHeight="false" outlineLevel="0" collapsed="false">
      <c r="A51" s="706" t="n">
        <f aca="false">A50+1</f>
        <v>49</v>
      </c>
      <c r="B51" s="711" t="s">
        <v>3219</v>
      </c>
      <c r="C51" s="708" t="n">
        <v>4</v>
      </c>
      <c r="D51" s="708" t="n">
        <v>1</v>
      </c>
      <c r="E51" s="726" t="s">
        <v>2809</v>
      </c>
      <c r="F51" s="708" t="s">
        <v>2718</v>
      </c>
      <c r="G51" s="708" t="s">
        <v>2802</v>
      </c>
      <c r="H51" s="709" t="s">
        <v>2759</v>
      </c>
      <c r="I51" s="708" t="s">
        <v>2777</v>
      </c>
      <c r="J51" s="712" t="s">
        <v>2942</v>
      </c>
      <c r="K51" s="706" t="n">
        <f aca="false">K50+1</f>
        <v>49</v>
      </c>
      <c r="L51" s="711" t="s">
        <v>3220</v>
      </c>
      <c r="M51" s="708" t="n">
        <v>4</v>
      </c>
      <c r="N51" s="708" t="n">
        <v>3</v>
      </c>
      <c r="O51" s="708" t="s">
        <v>3130</v>
      </c>
      <c r="P51" s="708" t="s">
        <v>2718</v>
      </c>
      <c r="Q51" s="708" t="s">
        <v>2719</v>
      </c>
      <c r="R51" s="709" t="s">
        <v>3221</v>
      </c>
      <c r="S51" s="708" t="s">
        <v>3080</v>
      </c>
      <c r="T51" s="712" t="s">
        <v>2951</v>
      </c>
      <c r="U51" s="706" t="n">
        <f aca="false">U50+1</f>
        <v>49</v>
      </c>
      <c r="V51" s="713" t="s">
        <v>3222</v>
      </c>
      <c r="W51" s="714" t="n">
        <v>4</v>
      </c>
      <c r="X51" s="714" t="n">
        <v>1</v>
      </c>
      <c r="Y51" s="715" t="s">
        <v>2928</v>
      </c>
      <c r="Z51" s="714" t="s">
        <v>2718</v>
      </c>
      <c r="AA51" s="714" t="s">
        <v>2891</v>
      </c>
      <c r="AB51" s="714" t="s">
        <v>3223</v>
      </c>
      <c r="AC51" s="714" t="s">
        <v>2931</v>
      </c>
      <c r="AD51" s="712" t="s">
        <v>2962</v>
      </c>
      <c r="AE51" s="716" t="n">
        <f aca="false">AE50+1</f>
        <v>49</v>
      </c>
      <c r="AF51" s="720" t="s">
        <v>3224</v>
      </c>
      <c r="AG51" s="714" t="n">
        <v>4</v>
      </c>
      <c r="AH51" s="714" t="n">
        <v>1</v>
      </c>
      <c r="AI51" s="715" t="s">
        <v>3225</v>
      </c>
      <c r="AJ51" s="714" t="n">
        <v>6</v>
      </c>
      <c r="AK51" s="714" t="s">
        <v>2856</v>
      </c>
      <c r="AL51" s="714" t="s">
        <v>3226</v>
      </c>
      <c r="AM51" s="714" t="s">
        <v>2821</v>
      </c>
      <c r="AN51" s="712" t="s">
        <v>3122</v>
      </c>
      <c r="AO51" s="716" t="n">
        <f aca="false">AO50+1</f>
        <v>49</v>
      </c>
      <c r="AP51" s="720" t="s">
        <v>3160</v>
      </c>
      <c r="AQ51" s="714" t="n">
        <v>4</v>
      </c>
      <c r="AR51" s="714" t="n">
        <v>0</v>
      </c>
      <c r="AS51" s="715" t="s">
        <v>3161</v>
      </c>
      <c r="AT51" s="714" t="s">
        <v>2718</v>
      </c>
      <c r="AU51" s="714" t="s">
        <v>2749</v>
      </c>
      <c r="AV51" s="714" t="s">
        <v>3162</v>
      </c>
      <c r="AW51" s="714" t="s">
        <v>2854</v>
      </c>
      <c r="AX51" s="712" t="s">
        <v>2807</v>
      </c>
    </row>
    <row r="52" customFormat="false" ht="12.75" hidden="false" customHeight="false" outlineLevel="0" collapsed="false">
      <c r="A52" s="706" t="n">
        <f aca="false">A51+1</f>
        <v>50</v>
      </c>
      <c r="B52" s="711" t="s">
        <v>3196</v>
      </c>
      <c r="C52" s="708" t="n">
        <v>4</v>
      </c>
      <c r="D52" s="708" t="n">
        <v>2</v>
      </c>
      <c r="E52" s="708" t="s">
        <v>3063</v>
      </c>
      <c r="F52" s="708" t="s">
        <v>2718</v>
      </c>
      <c r="G52" s="708" t="s">
        <v>2755</v>
      </c>
      <c r="H52" s="709" t="s">
        <v>3197</v>
      </c>
      <c r="I52" s="708" t="s">
        <v>3027</v>
      </c>
      <c r="J52" s="712" t="s">
        <v>2824</v>
      </c>
      <c r="K52" s="706" t="n">
        <f aca="false">K51+1</f>
        <v>50</v>
      </c>
      <c r="L52" s="711" t="s">
        <v>3227</v>
      </c>
      <c r="M52" s="708" t="n">
        <v>4</v>
      </c>
      <c r="N52" s="708" t="n">
        <v>3</v>
      </c>
      <c r="O52" s="708" t="s">
        <v>3228</v>
      </c>
      <c r="P52" s="708" t="s">
        <v>2718</v>
      </c>
      <c r="Q52" s="708" t="s">
        <v>3156</v>
      </c>
      <c r="R52" s="709" t="s">
        <v>3229</v>
      </c>
      <c r="S52" s="708" t="s">
        <v>2982</v>
      </c>
      <c r="T52" s="712" t="s">
        <v>2840</v>
      </c>
      <c r="U52" s="706" t="n">
        <f aca="false">U51+1</f>
        <v>50</v>
      </c>
      <c r="V52" s="721" t="s">
        <v>3230</v>
      </c>
      <c r="W52" s="718" t="n">
        <v>5</v>
      </c>
      <c r="X52" s="718" t="n">
        <v>3</v>
      </c>
      <c r="Y52" s="719" t="s">
        <v>3231</v>
      </c>
      <c r="Z52" s="718" t="n">
        <v>9</v>
      </c>
      <c r="AA52" s="718" t="s">
        <v>2749</v>
      </c>
      <c r="AB52" s="718" t="s">
        <v>2772</v>
      </c>
      <c r="AC52" s="718" t="s">
        <v>2995</v>
      </c>
      <c r="AD52" s="710" t="s">
        <v>2899</v>
      </c>
      <c r="AE52" s="716" t="n">
        <f aca="false">AE51+1</f>
        <v>50</v>
      </c>
      <c r="AF52" s="720" t="s">
        <v>3232</v>
      </c>
      <c r="AG52" s="714" t="n">
        <v>4</v>
      </c>
      <c r="AH52" s="714" t="n">
        <v>1</v>
      </c>
      <c r="AI52" s="715" t="s">
        <v>3233</v>
      </c>
      <c r="AJ52" s="714" t="s">
        <v>2718</v>
      </c>
      <c r="AK52" s="714" t="s">
        <v>2823</v>
      </c>
      <c r="AL52" s="714" t="s">
        <v>2967</v>
      </c>
      <c r="AM52" s="714" t="s">
        <v>2757</v>
      </c>
      <c r="AN52" s="712" t="s">
        <v>2894</v>
      </c>
      <c r="AO52" s="716" t="n">
        <f aca="false">AO51+1</f>
        <v>50</v>
      </c>
      <c r="AP52" s="711" t="s">
        <v>3220</v>
      </c>
      <c r="AQ52" s="708" t="n">
        <v>4</v>
      </c>
      <c r="AR52" s="708" t="n">
        <v>3</v>
      </c>
      <c r="AS52" s="708" t="s">
        <v>3130</v>
      </c>
      <c r="AT52" s="708" t="s">
        <v>2718</v>
      </c>
      <c r="AU52" s="708" t="s">
        <v>2719</v>
      </c>
      <c r="AV52" s="709" t="s">
        <v>3221</v>
      </c>
      <c r="AW52" s="708" t="s">
        <v>3080</v>
      </c>
      <c r="AX52" s="712" t="s">
        <v>2951</v>
      </c>
    </row>
    <row r="53" customFormat="false" ht="12.75" hidden="false" customHeight="false" outlineLevel="0" collapsed="false">
      <c r="A53" s="706" t="n">
        <f aca="false">A52+1</f>
        <v>51</v>
      </c>
      <c r="B53" s="711" t="s">
        <v>3234</v>
      </c>
      <c r="C53" s="708" t="n">
        <v>4</v>
      </c>
      <c r="D53" s="708" t="n">
        <v>1</v>
      </c>
      <c r="E53" s="708" t="s">
        <v>3063</v>
      </c>
      <c r="F53" s="708" t="n">
        <v>6</v>
      </c>
      <c r="G53" s="708" t="s">
        <v>2719</v>
      </c>
      <c r="H53" s="709" t="s">
        <v>2731</v>
      </c>
      <c r="I53" s="708" t="s">
        <v>2854</v>
      </c>
      <c r="J53" s="712" t="s">
        <v>2815</v>
      </c>
      <c r="K53" s="706" t="n">
        <f aca="false">K52+1</f>
        <v>51</v>
      </c>
      <c r="L53" s="711" t="s">
        <v>3235</v>
      </c>
      <c r="M53" s="708" t="n">
        <v>4</v>
      </c>
      <c r="N53" s="708" t="n">
        <v>2</v>
      </c>
      <c r="O53" s="708" t="s">
        <v>3130</v>
      </c>
      <c r="P53" s="708" t="s">
        <v>2718</v>
      </c>
      <c r="Q53" s="708" t="s">
        <v>2827</v>
      </c>
      <c r="R53" s="709" t="s">
        <v>2750</v>
      </c>
      <c r="S53" s="708" t="s">
        <v>2982</v>
      </c>
      <c r="T53" s="712" t="s">
        <v>3236</v>
      </c>
      <c r="U53" s="706" t="n">
        <f aca="false">U52+1</f>
        <v>51</v>
      </c>
      <c r="V53" s="713" t="s">
        <v>3237</v>
      </c>
      <c r="W53" s="714" t="n">
        <v>5</v>
      </c>
      <c r="X53" s="714" t="n">
        <v>3</v>
      </c>
      <c r="Y53" s="715" t="s">
        <v>3238</v>
      </c>
      <c r="Z53" s="714" t="s">
        <v>2754</v>
      </c>
      <c r="AA53" s="714" t="s">
        <v>2730</v>
      </c>
      <c r="AB53" s="714" t="s">
        <v>2731</v>
      </c>
      <c r="AC53" s="714" t="s">
        <v>2836</v>
      </c>
      <c r="AD53" s="712" t="s">
        <v>2727</v>
      </c>
      <c r="AE53" s="716" t="n">
        <f aca="false">AE52+1</f>
        <v>51</v>
      </c>
      <c r="AF53" s="720" t="s">
        <v>3239</v>
      </c>
      <c r="AG53" s="714" t="n">
        <v>4</v>
      </c>
      <c r="AH53" s="714" t="n">
        <v>2</v>
      </c>
      <c r="AI53" s="715" t="s">
        <v>3130</v>
      </c>
      <c r="AJ53" s="714" t="s">
        <v>2718</v>
      </c>
      <c r="AK53" s="714" t="s">
        <v>2719</v>
      </c>
      <c r="AL53" s="714" t="s">
        <v>2858</v>
      </c>
      <c r="AM53" s="714" t="s">
        <v>2721</v>
      </c>
      <c r="AN53" s="712" t="s">
        <v>3039</v>
      </c>
      <c r="AO53" s="716" t="n">
        <f aca="false">AO52+1</f>
        <v>51</v>
      </c>
      <c r="AP53" s="720" t="s">
        <v>3201</v>
      </c>
      <c r="AQ53" s="714" t="n">
        <v>4</v>
      </c>
      <c r="AR53" s="714" t="n">
        <v>1</v>
      </c>
      <c r="AS53" s="715" t="s">
        <v>3130</v>
      </c>
      <c r="AT53" s="714" t="s">
        <v>2718</v>
      </c>
      <c r="AU53" s="714" t="s">
        <v>2719</v>
      </c>
      <c r="AV53" s="714" t="s">
        <v>3202</v>
      </c>
      <c r="AW53" s="714" t="s">
        <v>2732</v>
      </c>
      <c r="AX53" s="712" t="s">
        <v>3190</v>
      </c>
    </row>
    <row r="54" customFormat="false" ht="12.75" hidden="false" customHeight="false" outlineLevel="0" collapsed="false">
      <c r="A54" s="706" t="n">
        <f aca="false">A53+1</f>
        <v>52</v>
      </c>
      <c r="B54" s="711" t="s">
        <v>3216</v>
      </c>
      <c r="C54" s="708" t="n">
        <v>4</v>
      </c>
      <c r="D54" s="708" t="n">
        <v>2</v>
      </c>
      <c r="E54" s="708" t="s">
        <v>3217</v>
      </c>
      <c r="F54" s="708" t="s">
        <v>3218</v>
      </c>
      <c r="G54" s="708" t="s">
        <v>2749</v>
      </c>
      <c r="H54" s="709" t="s">
        <v>2750</v>
      </c>
      <c r="I54" s="708" t="s">
        <v>2757</v>
      </c>
      <c r="J54" s="712" t="s">
        <v>2939</v>
      </c>
      <c r="K54" s="706" t="n">
        <f aca="false">K53+1</f>
        <v>52</v>
      </c>
      <c r="L54" s="711" t="s">
        <v>3240</v>
      </c>
      <c r="M54" s="708" t="n">
        <v>4</v>
      </c>
      <c r="N54" s="708" t="n">
        <v>2</v>
      </c>
      <c r="O54" s="708" t="s">
        <v>3043</v>
      </c>
      <c r="P54" s="708" t="s">
        <v>2754</v>
      </c>
      <c r="Q54" s="708" t="s">
        <v>2719</v>
      </c>
      <c r="R54" s="709" t="s">
        <v>3241</v>
      </c>
      <c r="S54" s="708" t="s">
        <v>2732</v>
      </c>
      <c r="T54" s="712" t="s">
        <v>3200</v>
      </c>
      <c r="U54" s="706" t="n">
        <f aca="false">U53+1</f>
        <v>52</v>
      </c>
      <c r="V54" s="713" t="s">
        <v>3242</v>
      </c>
      <c r="W54" s="714" t="n">
        <v>5</v>
      </c>
      <c r="X54" s="714" t="s">
        <v>3243</v>
      </c>
      <c r="Y54" s="715" t="s">
        <v>3244</v>
      </c>
      <c r="Z54" s="714" t="s">
        <v>2754</v>
      </c>
      <c r="AA54" s="714" t="s">
        <v>2719</v>
      </c>
      <c r="AB54" s="714" t="s">
        <v>3245</v>
      </c>
      <c r="AC54" s="714" t="s">
        <v>2982</v>
      </c>
      <c r="AD54" s="712" t="s">
        <v>3246</v>
      </c>
      <c r="AE54" s="716" t="n">
        <f aca="false">AE53+1</f>
        <v>52</v>
      </c>
      <c r="AF54" s="721" t="s">
        <v>3247</v>
      </c>
      <c r="AG54" s="718" t="n">
        <v>5</v>
      </c>
      <c r="AH54" s="718" t="n">
        <v>0</v>
      </c>
      <c r="AI54" s="719" t="s">
        <v>2826</v>
      </c>
      <c r="AJ54" s="718" t="s">
        <v>2754</v>
      </c>
      <c r="AK54" s="718" t="s">
        <v>2981</v>
      </c>
      <c r="AL54" s="718" t="s">
        <v>3248</v>
      </c>
      <c r="AM54" s="718" t="s">
        <v>2796</v>
      </c>
      <c r="AN54" s="710" t="s">
        <v>2786</v>
      </c>
      <c r="AO54" s="716" t="n">
        <f aca="false">AO53+1</f>
        <v>52</v>
      </c>
      <c r="AP54" s="713" t="s">
        <v>3193</v>
      </c>
      <c r="AQ54" s="714" t="n">
        <v>4</v>
      </c>
      <c r="AR54" s="714" t="n">
        <v>1</v>
      </c>
      <c r="AS54" s="715" t="s">
        <v>2887</v>
      </c>
      <c r="AT54" s="714" t="s">
        <v>2718</v>
      </c>
      <c r="AU54" s="714" t="s">
        <v>2719</v>
      </c>
      <c r="AV54" s="714" t="s">
        <v>3194</v>
      </c>
      <c r="AW54" s="714" t="s">
        <v>2732</v>
      </c>
      <c r="AX54" s="712" t="s">
        <v>2851</v>
      </c>
    </row>
    <row r="55" customFormat="false" ht="12.75" hidden="false" customHeight="false" outlineLevel="0" collapsed="false">
      <c r="A55" s="706" t="n">
        <f aca="false">A54+1</f>
        <v>53</v>
      </c>
      <c r="B55" s="711" t="s">
        <v>3249</v>
      </c>
      <c r="C55" s="708" t="n">
        <v>4</v>
      </c>
      <c r="D55" s="708" t="n">
        <v>1</v>
      </c>
      <c r="E55" s="708" t="s">
        <v>3005</v>
      </c>
      <c r="F55" s="708" t="s">
        <v>2718</v>
      </c>
      <c r="G55" s="708" t="s">
        <v>2749</v>
      </c>
      <c r="H55" s="709" t="s">
        <v>3250</v>
      </c>
      <c r="I55" s="708" t="s">
        <v>3251</v>
      </c>
      <c r="J55" s="712" t="s">
        <v>3097</v>
      </c>
      <c r="K55" s="706" t="n">
        <f aca="false">K54+1</f>
        <v>53</v>
      </c>
      <c r="L55" s="711" t="s">
        <v>3252</v>
      </c>
      <c r="M55" s="708" t="n">
        <v>4</v>
      </c>
      <c r="N55" s="708" t="n">
        <v>5</v>
      </c>
      <c r="O55" s="708" t="s">
        <v>3130</v>
      </c>
      <c r="P55" s="708" t="s">
        <v>2718</v>
      </c>
      <c r="Q55" s="708" t="s">
        <v>2823</v>
      </c>
      <c r="R55" s="709" t="s">
        <v>3253</v>
      </c>
      <c r="S55" s="708" t="s">
        <v>3080</v>
      </c>
      <c r="T55" s="712" t="s">
        <v>3058</v>
      </c>
      <c r="U55" s="706" t="n">
        <f aca="false">U54+1</f>
        <v>53</v>
      </c>
      <c r="V55" s="713" t="s">
        <v>3254</v>
      </c>
      <c r="W55" s="714" t="n">
        <v>5</v>
      </c>
      <c r="X55" s="714" t="n">
        <v>2</v>
      </c>
      <c r="Y55" s="715" t="s">
        <v>3255</v>
      </c>
      <c r="Z55" s="714" t="n">
        <v>6</v>
      </c>
      <c r="AA55" s="714" t="s">
        <v>2802</v>
      </c>
      <c r="AB55" s="714" t="s">
        <v>2858</v>
      </c>
      <c r="AC55" s="714" t="s">
        <v>2785</v>
      </c>
      <c r="AD55" s="712" t="s">
        <v>2733</v>
      </c>
      <c r="AE55" s="716" t="n">
        <f aca="false">AE54+1</f>
        <v>53</v>
      </c>
      <c r="AF55" s="720" t="s">
        <v>3256</v>
      </c>
      <c r="AG55" s="714" t="n">
        <v>5</v>
      </c>
      <c r="AH55" s="714" t="n">
        <v>2</v>
      </c>
      <c r="AI55" s="715" t="s">
        <v>3255</v>
      </c>
      <c r="AJ55" s="714" t="s">
        <v>2718</v>
      </c>
      <c r="AK55" s="714" t="s">
        <v>2719</v>
      </c>
      <c r="AL55" s="714" t="s">
        <v>3257</v>
      </c>
      <c r="AM55" s="714" t="s">
        <v>3212</v>
      </c>
      <c r="AN55" s="712" t="s">
        <v>2939</v>
      </c>
      <c r="AO55" s="716" t="n">
        <f aca="false">AO54+1</f>
        <v>53</v>
      </c>
      <c r="AP55" s="711" t="s">
        <v>3249</v>
      </c>
      <c r="AQ55" s="708" t="n">
        <v>4</v>
      </c>
      <c r="AR55" s="708" t="n">
        <v>1</v>
      </c>
      <c r="AS55" s="708" t="s">
        <v>3005</v>
      </c>
      <c r="AT55" s="708" t="s">
        <v>2718</v>
      </c>
      <c r="AU55" s="708" t="s">
        <v>2749</v>
      </c>
      <c r="AV55" s="709" t="s">
        <v>3250</v>
      </c>
      <c r="AW55" s="708" t="s">
        <v>3251</v>
      </c>
      <c r="AX55" s="712" t="s">
        <v>3097</v>
      </c>
    </row>
    <row r="56" customFormat="false" ht="12.75" hidden="false" customHeight="false" outlineLevel="0" collapsed="false">
      <c r="A56" s="706" t="n">
        <f aca="false">A55+1</f>
        <v>54</v>
      </c>
      <c r="B56" s="711" t="s">
        <v>3258</v>
      </c>
      <c r="C56" s="708" t="n">
        <v>4</v>
      </c>
      <c r="D56" s="708" t="n">
        <v>0</v>
      </c>
      <c r="E56" s="708" t="s">
        <v>2779</v>
      </c>
      <c r="F56" s="708" t="s">
        <v>2754</v>
      </c>
      <c r="G56" s="708" t="s">
        <v>2719</v>
      </c>
      <c r="H56" s="709" t="s">
        <v>3259</v>
      </c>
      <c r="I56" s="708" t="s">
        <v>2821</v>
      </c>
      <c r="J56" s="712" t="s">
        <v>3097</v>
      </c>
      <c r="K56" s="706" t="n">
        <f aca="false">K55+1</f>
        <v>54</v>
      </c>
      <c r="L56" s="711" t="s">
        <v>3260</v>
      </c>
      <c r="M56" s="708" t="n">
        <v>4</v>
      </c>
      <c r="N56" s="708" t="n">
        <v>0</v>
      </c>
      <c r="O56" s="708" t="s">
        <v>2862</v>
      </c>
      <c r="P56" s="708" t="s">
        <v>2718</v>
      </c>
      <c r="Q56" s="708" t="s">
        <v>2802</v>
      </c>
      <c r="R56" s="709" t="s">
        <v>2967</v>
      </c>
      <c r="S56" s="708" t="s">
        <v>3001</v>
      </c>
      <c r="T56" s="712" t="s">
        <v>3037</v>
      </c>
      <c r="U56" s="706" t="n">
        <f aca="false">U55+1</f>
        <v>54</v>
      </c>
      <c r="V56" s="713" t="s">
        <v>3261</v>
      </c>
      <c r="W56" s="714" t="n">
        <v>5</v>
      </c>
      <c r="X56" s="714" t="n">
        <v>3</v>
      </c>
      <c r="Y56" s="715" t="s">
        <v>3262</v>
      </c>
      <c r="Z56" s="714" t="s">
        <v>2718</v>
      </c>
      <c r="AA56" s="714" t="s">
        <v>3263</v>
      </c>
      <c r="AB56" s="714" t="s">
        <v>2858</v>
      </c>
      <c r="AC56" s="714" t="s">
        <v>2854</v>
      </c>
      <c r="AD56" s="712" t="s">
        <v>2781</v>
      </c>
      <c r="AE56" s="716" t="n">
        <f aca="false">AE55+1</f>
        <v>54</v>
      </c>
      <c r="AF56" s="720" t="s">
        <v>3264</v>
      </c>
      <c r="AG56" s="714" t="n">
        <v>5</v>
      </c>
      <c r="AH56" s="714" t="n">
        <v>2</v>
      </c>
      <c r="AI56" s="715" t="s">
        <v>3255</v>
      </c>
      <c r="AJ56" s="714" t="s">
        <v>2754</v>
      </c>
      <c r="AK56" s="714" t="s">
        <v>2794</v>
      </c>
      <c r="AL56" s="714" t="s">
        <v>2772</v>
      </c>
      <c r="AM56" s="714" t="s">
        <v>2821</v>
      </c>
      <c r="AN56" s="712" t="s">
        <v>2807</v>
      </c>
      <c r="AO56" s="716" t="n">
        <f aca="false">AO55+1</f>
        <v>54</v>
      </c>
      <c r="AP56" s="720" t="s">
        <v>3209</v>
      </c>
      <c r="AQ56" s="714" t="n">
        <v>4</v>
      </c>
      <c r="AR56" s="714" t="n">
        <v>3</v>
      </c>
      <c r="AS56" s="715" t="s">
        <v>3008</v>
      </c>
      <c r="AT56" s="714" t="s">
        <v>2718</v>
      </c>
      <c r="AU56" s="714" t="s">
        <v>2719</v>
      </c>
      <c r="AV56" s="714" t="s">
        <v>2750</v>
      </c>
      <c r="AW56" s="714" t="s">
        <v>2732</v>
      </c>
      <c r="AX56" s="712" t="s">
        <v>2864</v>
      </c>
    </row>
    <row r="57" customFormat="false" ht="12.75" hidden="false" customHeight="false" outlineLevel="0" collapsed="false">
      <c r="A57" s="706" t="n">
        <f aca="false">A56+1</f>
        <v>55</v>
      </c>
      <c r="B57" s="711" t="s">
        <v>3265</v>
      </c>
      <c r="C57" s="708" t="n">
        <v>4</v>
      </c>
      <c r="D57" s="708" t="n">
        <v>3</v>
      </c>
      <c r="E57" s="708" t="s">
        <v>3130</v>
      </c>
      <c r="F57" s="708" t="s">
        <v>2718</v>
      </c>
      <c r="G57" s="708" t="s">
        <v>2755</v>
      </c>
      <c r="H57" s="709" t="s">
        <v>2784</v>
      </c>
      <c r="I57" s="708" t="s">
        <v>2751</v>
      </c>
      <c r="J57" s="712" t="s">
        <v>3097</v>
      </c>
      <c r="K57" s="706" t="n">
        <f aca="false">K56+1</f>
        <v>55</v>
      </c>
      <c r="L57" s="711" t="s">
        <v>3266</v>
      </c>
      <c r="M57" s="708" t="n">
        <v>4</v>
      </c>
      <c r="N57" s="708" t="n">
        <v>1</v>
      </c>
      <c r="O57" s="708" t="s">
        <v>3063</v>
      </c>
      <c r="P57" s="708" t="s">
        <v>2718</v>
      </c>
      <c r="Q57" s="708" t="s">
        <v>3263</v>
      </c>
      <c r="R57" s="709" t="s">
        <v>2731</v>
      </c>
      <c r="S57" s="708" t="s">
        <v>2785</v>
      </c>
      <c r="T57" s="712" t="s">
        <v>2894</v>
      </c>
      <c r="U57" s="706" t="n">
        <f aca="false">U56+1</f>
        <v>55</v>
      </c>
      <c r="V57" s="713" t="s">
        <v>3267</v>
      </c>
      <c r="W57" s="714" t="n">
        <v>5</v>
      </c>
      <c r="X57" s="714" t="n">
        <v>3</v>
      </c>
      <c r="Y57" s="715" t="s">
        <v>3117</v>
      </c>
      <c r="Z57" s="714" t="s">
        <v>2718</v>
      </c>
      <c r="AA57" s="714" t="s">
        <v>2719</v>
      </c>
      <c r="AB57" s="714" t="s">
        <v>2858</v>
      </c>
      <c r="AC57" s="714" t="s">
        <v>2836</v>
      </c>
      <c r="AD57" s="712" t="s">
        <v>2769</v>
      </c>
      <c r="AE57" s="716" t="n">
        <f aca="false">AE56+1</f>
        <v>55</v>
      </c>
      <c r="AF57" s="720" t="s">
        <v>3268</v>
      </c>
      <c r="AG57" s="714" t="n">
        <v>5</v>
      </c>
      <c r="AH57" s="714" t="n">
        <v>2</v>
      </c>
      <c r="AI57" s="715" t="s">
        <v>2928</v>
      </c>
      <c r="AJ57" s="714" t="s">
        <v>2718</v>
      </c>
      <c r="AK57" s="714" t="s">
        <v>2719</v>
      </c>
      <c r="AL57" s="714" t="s">
        <v>3269</v>
      </c>
      <c r="AM57" s="714" t="s">
        <v>2982</v>
      </c>
      <c r="AN57" s="712" t="s">
        <v>2843</v>
      </c>
      <c r="AO57" s="716" t="n">
        <f aca="false">AO56+1</f>
        <v>55</v>
      </c>
      <c r="AP57" s="711" t="s">
        <v>3270</v>
      </c>
      <c r="AQ57" s="708" t="n">
        <v>4</v>
      </c>
      <c r="AR57" s="708" t="n">
        <v>0</v>
      </c>
      <c r="AS57" s="708" t="s">
        <v>3161</v>
      </c>
      <c r="AT57" s="708" t="s">
        <v>3271</v>
      </c>
      <c r="AU57" s="708" t="s">
        <v>2794</v>
      </c>
      <c r="AV57" s="709" t="s">
        <v>2784</v>
      </c>
      <c r="AW57" s="708" t="s">
        <v>2854</v>
      </c>
      <c r="AX57" s="712" t="s">
        <v>2873</v>
      </c>
    </row>
    <row r="58" customFormat="false" ht="12.75" hidden="false" customHeight="false" outlineLevel="0" collapsed="false">
      <c r="A58" s="706" t="n">
        <f aca="false">A57+1</f>
        <v>56</v>
      </c>
      <c r="B58" s="711" t="s">
        <v>3272</v>
      </c>
      <c r="C58" s="708" t="n">
        <v>4</v>
      </c>
      <c r="D58" s="708" t="n">
        <v>1</v>
      </c>
      <c r="E58" s="708" t="s">
        <v>3130</v>
      </c>
      <c r="F58" s="708" t="s">
        <v>2718</v>
      </c>
      <c r="G58" s="708" t="s">
        <v>3149</v>
      </c>
      <c r="H58" s="709" t="s">
        <v>3154</v>
      </c>
      <c r="I58" s="708" t="s">
        <v>2777</v>
      </c>
      <c r="J58" s="712" t="s">
        <v>3097</v>
      </c>
      <c r="K58" s="706" t="n">
        <f aca="false">K57+1</f>
        <v>56</v>
      </c>
      <c r="L58" s="707" t="s">
        <v>3273</v>
      </c>
      <c r="M58" s="213" t="n">
        <v>5</v>
      </c>
      <c r="N58" s="213" t="n">
        <v>2</v>
      </c>
      <c r="O58" s="213" t="s">
        <v>3255</v>
      </c>
      <c r="P58" s="213" t="s">
        <v>2718</v>
      </c>
      <c r="Q58" s="213" t="s">
        <v>2719</v>
      </c>
      <c r="R58" s="212" t="s">
        <v>2731</v>
      </c>
      <c r="S58" s="213" t="s">
        <v>2732</v>
      </c>
      <c r="T58" s="710" t="s">
        <v>2985</v>
      </c>
      <c r="U58" s="706" t="n">
        <f aca="false">U57+1</f>
        <v>56</v>
      </c>
      <c r="V58" s="713" t="s">
        <v>3274</v>
      </c>
      <c r="W58" s="714" t="n">
        <v>5</v>
      </c>
      <c r="X58" s="714" t="n">
        <v>3</v>
      </c>
      <c r="Y58" s="715" t="s">
        <v>3275</v>
      </c>
      <c r="Z58" s="714" t="s">
        <v>2718</v>
      </c>
      <c r="AA58" s="714" t="s">
        <v>2856</v>
      </c>
      <c r="AB58" s="714" t="s">
        <v>3276</v>
      </c>
      <c r="AC58" s="714" t="s">
        <v>2836</v>
      </c>
      <c r="AD58" s="712" t="s">
        <v>2843</v>
      </c>
      <c r="AE58" s="716" t="n">
        <f aca="false">AE57+1</f>
        <v>56</v>
      </c>
      <c r="AF58" s="720" t="s">
        <v>3277</v>
      </c>
      <c r="AG58" s="714" t="n">
        <v>5</v>
      </c>
      <c r="AH58" s="714" t="n">
        <v>4</v>
      </c>
      <c r="AI58" s="715" t="s">
        <v>2928</v>
      </c>
      <c r="AJ58" s="714" t="s">
        <v>2754</v>
      </c>
      <c r="AK58" s="714" t="s">
        <v>2719</v>
      </c>
      <c r="AL58" s="714" t="s">
        <v>3278</v>
      </c>
      <c r="AM58" s="714" t="s">
        <v>3279</v>
      </c>
      <c r="AN58" s="712" t="s">
        <v>3190</v>
      </c>
      <c r="AO58" s="716" t="n">
        <f aca="false">AO57+1</f>
        <v>56</v>
      </c>
      <c r="AP58" s="720" t="s">
        <v>3224</v>
      </c>
      <c r="AQ58" s="714" t="n">
        <v>4</v>
      </c>
      <c r="AR58" s="714" t="n">
        <v>1</v>
      </c>
      <c r="AS58" s="715" t="s">
        <v>3225</v>
      </c>
      <c r="AT58" s="714" t="n">
        <v>6</v>
      </c>
      <c r="AU58" s="714" t="s">
        <v>2856</v>
      </c>
      <c r="AV58" s="714" t="s">
        <v>3226</v>
      </c>
      <c r="AW58" s="714" t="s">
        <v>2821</v>
      </c>
      <c r="AX58" s="712" t="s">
        <v>3122</v>
      </c>
    </row>
    <row r="59" customFormat="false" ht="12.75" hidden="false" customHeight="false" outlineLevel="0" collapsed="false">
      <c r="A59" s="706" t="n">
        <f aca="false">A58+1</f>
        <v>57</v>
      </c>
      <c r="B59" s="711" t="s">
        <v>3280</v>
      </c>
      <c r="C59" s="708" t="n">
        <v>4</v>
      </c>
      <c r="D59" s="708" t="n">
        <v>2</v>
      </c>
      <c r="E59" s="708" t="s">
        <v>3233</v>
      </c>
      <c r="F59" s="708" t="s">
        <v>2718</v>
      </c>
      <c r="G59" s="708" t="s">
        <v>3281</v>
      </c>
      <c r="H59" s="709" t="s">
        <v>3250</v>
      </c>
      <c r="I59" s="708" t="s">
        <v>2721</v>
      </c>
      <c r="J59" s="712" t="s">
        <v>3282</v>
      </c>
      <c r="K59" s="706" t="n">
        <f aca="false">K58+1</f>
        <v>57</v>
      </c>
      <c r="L59" s="711" t="s">
        <v>3283</v>
      </c>
      <c r="M59" s="708" t="n">
        <v>5</v>
      </c>
      <c r="N59" s="708" t="n">
        <v>3</v>
      </c>
      <c r="O59" s="708" t="s">
        <v>3255</v>
      </c>
      <c r="P59" s="708" t="s">
        <v>2718</v>
      </c>
      <c r="Q59" s="708" t="s">
        <v>2823</v>
      </c>
      <c r="R59" s="709" t="s">
        <v>2750</v>
      </c>
      <c r="S59" s="708" t="s">
        <v>2757</v>
      </c>
      <c r="T59" s="712" t="s">
        <v>2752</v>
      </c>
      <c r="U59" s="706" t="n">
        <f aca="false">U58+1</f>
        <v>57</v>
      </c>
      <c r="V59" s="713" t="s">
        <v>3284</v>
      </c>
      <c r="W59" s="714" t="n">
        <v>5</v>
      </c>
      <c r="X59" s="714" t="s">
        <v>3285</v>
      </c>
      <c r="Y59" s="715" t="s">
        <v>3286</v>
      </c>
      <c r="Z59" s="714" t="s">
        <v>2960</v>
      </c>
      <c r="AA59" s="714" t="s">
        <v>2719</v>
      </c>
      <c r="AB59" s="714" t="s">
        <v>3287</v>
      </c>
      <c r="AC59" s="714" t="s">
        <v>3288</v>
      </c>
      <c r="AD59" s="712" t="s">
        <v>2860</v>
      </c>
      <c r="AE59" s="716" t="n">
        <f aca="false">AE58+1</f>
        <v>57</v>
      </c>
      <c r="AF59" s="720" t="s">
        <v>3289</v>
      </c>
      <c r="AG59" s="714" t="n">
        <v>5</v>
      </c>
      <c r="AH59" s="714" t="n">
        <v>1</v>
      </c>
      <c r="AI59" s="715" t="s">
        <v>3290</v>
      </c>
      <c r="AJ59" s="714" t="s">
        <v>2718</v>
      </c>
      <c r="AK59" s="714" t="s">
        <v>2719</v>
      </c>
      <c r="AL59" s="714" t="s">
        <v>3291</v>
      </c>
      <c r="AM59" s="714" t="s">
        <v>2810</v>
      </c>
      <c r="AN59" s="712" t="s">
        <v>3282</v>
      </c>
      <c r="AO59" s="716" t="n">
        <f aca="false">AO58+1</f>
        <v>57</v>
      </c>
      <c r="AP59" s="722" t="s">
        <v>3292</v>
      </c>
      <c r="AQ59" s="723" t="n">
        <v>4</v>
      </c>
      <c r="AR59" s="723" t="n">
        <v>1</v>
      </c>
      <c r="AS59" s="723" t="s">
        <v>3255</v>
      </c>
      <c r="AT59" s="723" t="s">
        <v>2754</v>
      </c>
      <c r="AU59" s="723" t="s">
        <v>2755</v>
      </c>
      <c r="AV59" s="724" t="s">
        <v>3293</v>
      </c>
      <c r="AW59" s="723" t="s">
        <v>2780</v>
      </c>
      <c r="AX59" s="725" t="s">
        <v>2894</v>
      </c>
    </row>
    <row r="60" customFormat="false" ht="12.75" hidden="false" customHeight="false" outlineLevel="0" collapsed="false">
      <c r="A60" s="706" t="n">
        <f aca="false">A59+1</f>
        <v>58</v>
      </c>
      <c r="B60" s="711" t="s">
        <v>3270</v>
      </c>
      <c r="C60" s="708" t="n">
        <v>4</v>
      </c>
      <c r="D60" s="708" t="n">
        <v>0</v>
      </c>
      <c r="E60" s="708" t="s">
        <v>3161</v>
      </c>
      <c r="F60" s="708" t="s">
        <v>3271</v>
      </c>
      <c r="G60" s="708" t="s">
        <v>2794</v>
      </c>
      <c r="H60" s="709" t="s">
        <v>2784</v>
      </c>
      <c r="I60" s="708" t="s">
        <v>2854</v>
      </c>
      <c r="J60" s="712" t="s">
        <v>2873</v>
      </c>
      <c r="K60" s="706" t="n">
        <f aca="false">K59+1</f>
        <v>58</v>
      </c>
      <c r="L60" s="711" t="s">
        <v>3294</v>
      </c>
      <c r="M60" s="708" t="n">
        <v>5</v>
      </c>
      <c r="N60" s="708" t="n">
        <v>3</v>
      </c>
      <c r="O60" s="708" t="s">
        <v>3295</v>
      </c>
      <c r="P60" s="708" t="s">
        <v>2718</v>
      </c>
      <c r="Q60" s="708" t="s">
        <v>2802</v>
      </c>
      <c r="R60" s="709" t="s">
        <v>3211</v>
      </c>
      <c r="S60" s="708" t="s">
        <v>3296</v>
      </c>
      <c r="T60" s="712" t="s">
        <v>2922</v>
      </c>
      <c r="U60" s="706" t="n">
        <f aca="false">U59+1</f>
        <v>58</v>
      </c>
      <c r="V60" s="713" t="s">
        <v>3297</v>
      </c>
      <c r="W60" s="714" t="n">
        <v>5</v>
      </c>
      <c r="X60" s="714" t="n">
        <v>2</v>
      </c>
      <c r="Y60" s="715" t="s">
        <v>3255</v>
      </c>
      <c r="Z60" s="714" t="n">
        <v>6</v>
      </c>
      <c r="AA60" s="714" t="s">
        <v>2749</v>
      </c>
      <c r="AB60" s="714" t="s">
        <v>3298</v>
      </c>
      <c r="AC60" s="714" t="s">
        <v>2780</v>
      </c>
      <c r="AD60" s="712" t="s">
        <v>2948</v>
      </c>
      <c r="AE60" s="716" t="n">
        <f aca="false">AE59+1</f>
        <v>58</v>
      </c>
      <c r="AF60" s="720" t="s">
        <v>3299</v>
      </c>
      <c r="AG60" s="714" t="n">
        <v>5</v>
      </c>
      <c r="AH60" s="714" t="n">
        <v>1</v>
      </c>
      <c r="AI60" s="715" t="s">
        <v>3114</v>
      </c>
      <c r="AJ60" s="714" t="s">
        <v>2754</v>
      </c>
      <c r="AK60" s="714" t="s">
        <v>2719</v>
      </c>
      <c r="AL60" s="714" t="s">
        <v>2731</v>
      </c>
      <c r="AM60" s="714" t="s">
        <v>3212</v>
      </c>
      <c r="AN60" s="712" t="s">
        <v>3236</v>
      </c>
      <c r="AO60" s="716" t="n">
        <f aca="false">AO59+1</f>
        <v>58</v>
      </c>
      <c r="AP60" s="711" t="s">
        <v>3283</v>
      </c>
      <c r="AQ60" s="708" t="n">
        <v>5</v>
      </c>
      <c r="AR60" s="708" t="n">
        <v>3</v>
      </c>
      <c r="AS60" s="708" t="s">
        <v>3255</v>
      </c>
      <c r="AT60" s="708" t="s">
        <v>2718</v>
      </c>
      <c r="AU60" s="708" t="s">
        <v>2823</v>
      </c>
      <c r="AV60" s="709" t="s">
        <v>2750</v>
      </c>
      <c r="AW60" s="708" t="s">
        <v>2757</v>
      </c>
      <c r="AX60" s="712" t="s">
        <v>2752</v>
      </c>
    </row>
    <row r="61" customFormat="false" ht="12.75" hidden="false" customHeight="false" outlineLevel="0" collapsed="false">
      <c r="A61" s="706" t="n">
        <f aca="false">A60+1</f>
        <v>59</v>
      </c>
      <c r="B61" s="711" t="s">
        <v>3300</v>
      </c>
      <c r="C61" s="708" t="n">
        <v>4</v>
      </c>
      <c r="D61" s="708" t="n">
        <v>1</v>
      </c>
      <c r="E61" s="708" t="s">
        <v>3130</v>
      </c>
      <c r="F61" s="708" t="s">
        <v>2718</v>
      </c>
      <c r="G61" s="708" t="s">
        <v>2719</v>
      </c>
      <c r="H61" s="709" t="s">
        <v>2731</v>
      </c>
      <c r="I61" s="708" t="s">
        <v>2854</v>
      </c>
      <c r="J61" s="712" t="s">
        <v>2989</v>
      </c>
      <c r="K61" s="706" t="n">
        <f aca="false">K60+1</f>
        <v>59</v>
      </c>
      <c r="L61" s="711" t="s">
        <v>3301</v>
      </c>
      <c r="M61" s="708" t="n">
        <v>5</v>
      </c>
      <c r="N61" s="708" t="n">
        <v>3</v>
      </c>
      <c r="O61" s="708" t="s">
        <v>3295</v>
      </c>
      <c r="P61" s="708" t="n">
        <v>6</v>
      </c>
      <c r="Q61" s="708" t="s">
        <v>2755</v>
      </c>
      <c r="R61" s="709" t="s">
        <v>3302</v>
      </c>
      <c r="S61" s="708" t="s">
        <v>2721</v>
      </c>
      <c r="T61" s="712" t="s">
        <v>2932</v>
      </c>
      <c r="U61" s="706" t="n">
        <f aca="false">U60+1</f>
        <v>59</v>
      </c>
      <c r="V61" s="713" t="s">
        <v>3303</v>
      </c>
      <c r="W61" s="714" t="n">
        <v>5</v>
      </c>
      <c r="X61" s="714" t="n">
        <v>2</v>
      </c>
      <c r="Y61" s="715" t="s">
        <v>3255</v>
      </c>
      <c r="Z61" s="714" t="n">
        <v>6</v>
      </c>
      <c r="AA61" s="714" t="s">
        <v>2736</v>
      </c>
      <c r="AB61" s="714" t="s">
        <v>2858</v>
      </c>
      <c r="AC61" s="714" t="s">
        <v>2721</v>
      </c>
      <c r="AD61" s="712" t="s">
        <v>3002</v>
      </c>
      <c r="AE61" s="716" t="n">
        <f aca="false">AE60+1</f>
        <v>59</v>
      </c>
      <c r="AF61" s="720" t="s">
        <v>3304</v>
      </c>
      <c r="AG61" s="714" t="n">
        <v>5</v>
      </c>
      <c r="AH61" s="714" t="n">
        <v>2</v>
      </c>
      <c r="AI61" s="715" t="s">
        <v>3295</v>
      </c>
      <c r="AJ61" s="714" t="s">
        <v>2718</v>
      </c>
      <c r="AK61" s="714" t="s">
        <v>2794</v>
      </c>
      <c r="AL61" s="714" t="s">
        <v>3202</v>
      </c>
      <c r="AM61" s="714" t="s">
        <v>2732</v>
      </c>
      <c r="AN61" s="712" t="s">
        <v>3200</v>
      </c>
      <c r="AO61" s="716" t="n">
        <f aca="false">AO60+1</f>
        <v>59</v>
      </c>
      <c r="AP61" s="711" t="s">
        <v>3305</v>
      </c>
      <c r="AQ61" s="708" t="n">
        <v>5</v>
      </c>
      <c r="AR61" s="708" t="n">
        <v>3</v>
      </c>
      <c r="AS61" s="708" t="s">
        <v>3255</v>
      </c>
      <c r="AT61" s="708" t="n">
        <v>6</v>
      </c>
      <c r="AU61" s="708" t="s">
        <v>2719</v>
      </c>
      <c r="AV61" s="709" t="s">
        <v>3306</v>
      </c>
      <c r="AW61" s="708" t="s">
        <v>3027</v>
      </c>
      <c r="AX61" s="712" t="s">
        <v>2843</v>
      </c>
    </row>
    <row r="62" customFormat="false" ht="12.75" hidden="false" customHeight="false" outlineLevel="0" collapsed="false">
      <c r="A62" s="706" t="n">
        <f aca="false">A61+1</f>
        <v>60</v>
      </c>
      <c r="B62" s="711" t="s">
        <v>3307</v>
      </c>
      <c r="C62" s="708" t="n">
        <v>4</v>
      </c>
      <c r="D62" s="708" t="n">
        <v>3</v>
      </c>
      <c r="E62" s="708" t="s">
        <v>3130</v>
      </c>
      <c r="F62" s="708" t="s">
        <v>2754</v>
      </c>
      <c r="G62" s="708" t="s">
        <v>2719</v>
      </c>
      <c r="H62" s="709" t="s">
        <v>2731</v>
      </c>
      <c r="I62" s="708" t="s">
        <v>3027</v>
      </c>
      <c r="J62" s="712" t="s">
        <v>3208</v>
      </c>
      <c r="K62" s="706" t="n">
        <f aca="false">K61+1</f>
        <v>60</v>
      </c>
      <c r="L62" s="711" t="s">
        <v>3308</v>
      </c>
      <c r="M62" s="708" t="n">
        <v>5</v>
      </c>
      <c r="N62" s="708" t="n">
        <v>1</v>
      </c>
      <c r="O62" s="708" t="s">
        <v>3255</v>
      </c>
      <c r="P62" s="708" t="s">
        <v>2718</v>
      </c>
      <c r="Q62" s="708" t="s">
        <v>2755</v>
      </c>
      <c r="R62" s="709" t="s">
        <v>3309</v>
      </c>
      <c r="S62" s="708" t="s">
        <v>2721</v>
      </c>
      <c r="T62" s="712" t="s">
        <v>2824</v>
      </c>
      <c r="U62" s="706" t="n">
        <f aca="false">U61+1</f>
        <v>60</v>
      </c>
      <c r="V62" s="713" t="s">
        <v>3310</v>
      </c>
      <c r="W62" s="714" t="n">
        <v>5</v>
      </c>
      <c r="X62" s="714" t="n">
        <v>3</v>
      </c>
      <c r="Y62" s="715" t="s">
        <v>3255</v>
      </c>
      <c r="Z62" s="714" t="s">
        <v>2754</v>
      </c>
      <c r="AA62" s="714" t="s">
        <v>2794</v>
      </c>
      <c r="AB62" s="714" t="s">
        <v>3311</v>
      </c>
      <c r="AC62" s="714" t="s">
        <v>2982</v>
      </c>
      <c r="AD62" s="712" t="s">
        <v>3002</v>
      </c>
      <c r="AE62" s="716" t="n">
        <f aca="false">AE61+1</f>
        <v>60</v>
      </c>
      <c r="AF62" s="720" t="s">
        <v>3312</v>
      </c>
      <c r="AG62" s="714" t="n">
        <v>5</v>
      </c>
      <c r="AH62" s="714" t="n">
        <v>3</v>
      </c>
      <c r="AI62" s="715" t="s">
        <v>3255</v>
      </c>
      <c r="AJ62" s="714" t="n">
        <v>6</v>
      </c>
      <c r="AK62" s="714" t="s">
        <v>2719</v>
      </c>
      <c r="AL62" s="714" t="s">
        <v>2858</v>
      </c>
      <c r="AM62" s="714" t="s">
        <v>2737</v>
      </c>
      <c r="AN62" s="712" t="s">
        <v>2948</v>
      </c>
      <c r="AO62" s="716" t="n">
        <f aca="false">AO61+1</f>
        <v>60</v>
      </c>
      <c r="AP62" s="711" t="s">
        <v>3313</v>
      </c>
      <c r="AQ62" s="708" t="n">
        <v>5</v>
      </c>
      <c r="AR62" s="708" t="n">
        <v>4</v>
      </c>
      <c r="AS62" s="708" t="s">
        <v>3070</v>
      </c>
      <c r="AT62" s="708" t="s">
        <v>2718</v>
      </c>
      <c r="AU62" s="708" t="s">
        <v>2719</v>
      </c>
      <c r="AV62" s="709" t="s">
        <v>3314</v>
      </c>
      <c r="AW62" s="708" t="s">
        <v>3315</v>
      </c>
      <c r="AX62" s="712" t="s">
        <v>3058</v>
      </c>
    </row>
    <row r="63" customFormat="false" ht="12.75" hidden="false" customHeight="false" outlineLevel="0" collapsed="false">
      <c r="A63" s="706" t="n">
        <f aca="false">A62+1</f>
        <v>61</v>
      </c>
      <c r="B63" s="711" t="s">
        <v>3316</v>
      </c>
      <c r="C63" s="708" t="n">
        <v>4</v>
      </c>
      <c r="D63" s="708" t="n">
        <v>2</v>
      </c>
      <c r="E63" s="708" t="s">
        <v>3186</v>
      </c>
      <c r="F63" s="708" t="s">
        <v>2754</v>
      </c>
      <c r="G63" s="708" t="s">
        <v>2749</v>
      </c>
      <c r="H63" s="709" t="s">
        <v>2967</v>
      </c>
      <c r="I63" s="708" t="s">
        <v>2931</v>
      </c>
      <c r="J63" s="712" t="s">
        <v>3037</v>
      </c>
      <c r="K63" s="706" t="n">
        <f aca="false">K62+1</f>
        <v>61</v>
      </c>
      <c r="L63" s="711" t="s">
        <v>3317</v>
      </c>
      <c r="M63" s="708" t="n">
        <v>5</v>
      </c>
      <c r="N63" s="708" t="n">
        <v>1</v>
      </c>
      <c r="O63" s="708" t="s">
        <v>3318</v>
      </c>
      <c r="P63" s="708" t="s">
        <v>2718</v>
      </c>
      <c r="Q63" s="708" t="s">
        <v>2719</v>
      </c>
      <c r="R63" s="709" t="s">
        <v>3211</v>
      </c>
      <c r="S63" s="708" t="s">
        <v>2854</v>
      </c>
      <c r="T63" s="712" t="s">
        <v>2797</v>
      </c>
      <c r="U63" s="706" t="n">
        <f aca="false">U62+1</f>
        <v>61</v>
      </c>
      <c r="V63" s="713" t="s">
        <v>3319</v>
      </c>
      <c r="W63" s="714" t="n">
        <v>5</v>
      </c>
      <c r="X63" s="714" t="n">
        <v>3</v>
      </c>
      <c r="Y63" s="715" t="s">
        <v>3046</v>
      </c>
      <c r="Z63" s="714" t="s">
        <v>2754</v>
      </c>
      <c r="AA63" s="714" t="s">
        <v>2755</v>
      </c>
      <c r="AB63" s="714" t="s">
        <v>3320</v>
      </c>
      <c r="AC63" s="714" t="s">
        <v>3321</v>
      </c>
      <c r="AD63" s="712" t="s">
        <v>3208</v>
      </c>
      <c r="AE63" s="716" t="n">
        <f aca="false">AE62+1</f>
        <v>61</v>
      </c>
      <c r="AF63" s="720" t="s">
        <v>3322</v>
      </c>
      <c r="AG63" s="714" t="n">
        <v>5</v>
      </c>
      <c r="AH63" s="714" t="n">
        <v>2</v>
      </c>
      <c r="AI63" s="715" t="s">
        <v>2748</v>
      </c>
      <c r="AJ63" s="714" t="s">
        <v>2718</v>
      </c>
      <c r="AK63" s="714" t="s">
        <v>2719</v>
      </c>
      <c r="AL63" s="714" t="s">
        <v>3323</v>
      </c>
      <c r="AM63" s="714" t="s">
        <v>2854</v>
      </c>
      <c r="AN63" s="712" t="s">
        <v>2868</v>
      </c>
      <c r="AO63" s="716" t="n">
        <f aca="false">AO62+1</f>
        <v>61</v>
      </c>
      <c r="AP63" s="711" t="s">
        <v>3324</v>
      </c>
      <c r="AQ63" s="708" t="n">
        <v>5</v>
      </c>
      <c r="AR63" s="708" t="n">
        <v>2</v>
      </c>
      <c r="AS63" s="708" t="s">
        <v>3295</v>
      </c>
      <c r="AT63" s="708" t="s">
        <v>2718</v>
      </c>
      <c r="AU63" s="708" t="s">
        <v>2719</v>
      </c>
      <c r="AV63" s="709" t="s">
        <v>3325</v>
      </c>
      <c r="AW63" s="708" t="s">
        <v>3027</v>
      </c>
      <c r="AX63" s="712" t="s">
        <v>2871</v>
      </c>
    </row>
    <row r="64" customFormat="false" ht="12.75" hidden="false" customHeight="false" outlineLevel="0" collapsed="false">
      <c r="A64" s="706" t="n">
        <f aca="false">A63+1</f>
        <v>62</v>
      </c>
      <c r="B64" s="711" t="s">
        <v>3292</v>
      </c>
      <c r="C64" s="708" t="n">
        <v>4</v>
      </c>
      <c r="D64" s="708" t="n">
        <v>1</v>
      </c>
      <c r="E64" s="708" t="s">
        <v>3255</v>
      </c>
      <c r="F64" s="708" t="s">
        <v>2754</v>
      </c>
      <c r="G64" s="708" t="s">
        <v>2755</v>
      </c>
      <c r="H64" s="709" t="s">
        <v>3293</v>
      </c>
      <c r="I64" s="708" t="s">
        <v>2780</v>
      </c>
      <c r="J64" s="712" t="s">
        <v>2894</v>
      </c>
      <c r="K64" s="706" t="n">
        <f aca="false">K63+1</f>
        <v>62</v>
      </c>
      <c r="L64" s="711" t="s">
        <v>3326</v>
      </c>
      <c r="M64" s="708" t="n">
        <v>5</v>
      </c>
      <c r="N64" s="708" t="n">
        <v>3</v>
      </c>
      <c r="O64" s="708" t="s">
        <v>3124</v>
      </c>
      <c r="P64" s="708" t="n">
        <v>7</v>
      </c>
      <c r="Q64" s="708" t="s">
        <v>2719</v>
      </c>
      <c r="R64" s="709" t="s">
        <v>2772</v>
      </c>
      <c r="S64" s="708" t="s">
        <v>2982</v>
      </c>
      <c r="T64" s="712" t="s">
        <v>2797</v>
      </c>
      <c r="U64" s="706" t="n">
        <f aca="false">U63+1</f>
        <v>62</v>
      </c>
      <c r="V64" s="713" t="s">
        <v>3327</v>
      </c>
      <c r="W64" s="714" t="n">
        <v>5</v>
      </c>
      <c r="X64" s="714" t="n">
        <v>1</v>
      </c>
      <c r="Y64" s="715" t="s">
        <v>3244</v>
      </c>
      <c r="Z64" s="714" t="s">
        <v>2718</v>
      </c>
      <c r="AA64" s="714" t="s">
        <v>2794</v>
      </c>
      <c r="AB64" s="714" t="s">
        <v>3154</v>
      </c>
      <c r="AC64" s="714" t="s">
        <v>2732</v>
      </c>
      <c r="AD64" s="712" t="s">
        <v>3024</v>
      </c>
      <c r="AE64" s="716" t="n">
        <f aca="false">AE63+1</f>
        <v>62</v>
      </c>
      <c r="AF64" s="720" t="s">
        <v>3328</v>
      </c>
      <c r="AG64" s="714" t="n">
        <v>5</v>
      </c>
      <c r="AH64" s="714" t="n">
        <v>2</v>
      </c>
      <c r="AI64" s="715" t="s">
        <v>3135</v>
      </c>
      <c r="AJ64" s="714" t="s">
        <v>2718</v>
      </c>
      <c r="AK64" s="714" t="s">
        <v>2755</v>
      </c>
      <c r="AL64" s="714" t="s">
        <v>3329</v>
      </c>
      <c r="AM64" s="714" t="s">
        <v>3330</v>
      </c>
      <c r="AN64" s="712" t="s">
        <v>3106</v>
      </c>
      <c r="AO64" s="716" t="n">
        <f aca="false">AO63+1</f>
        <v>62</v>
      </c>
      <c r="AP64" s="720" t="s">
        <v>3312</v>
      </c>
      <c r="AQ64" s="714" t="n">
        <v>5</v>
      </c>
      <c r="AR64" s="714" t="n">
        <v>3</v>
      </c>
      <c r="AS64" s="715" t="s">
        <v>3255</v>
      </c>
      <c r="AT64" s="714" t="n">
        <v>6</v>
      </c>
      <c r="AU64" s="714" t="s">
        <v>2719</v>
      </c>
      <c r="AV64" s="714" t="s">
        <v>2858</v>
      </c>
      <c r="AW64" s="714" t="s">
        <v>2737</v>
      </c>
      <c r="AX64" s="712" t="s">
        <v>2948</v>
      </c>
    </row>
    <row r="65" customFormat="false" ht="12.75" hidden="false" customHeight="false" outlineLevel="0" collapsed="false">
      <c r="A65" s="706" t="n">
        <f aca="false">A64+1</f>
        <v>63</v>
      </c>
      <c r="B65" s="711" t="s">
        <v>3331</v>
      </c>
      <c r="C65" s="708" t="n">
        <v>4</v>
      </c>
      <c r="D65" s="708" t="s">
        <v>3332</v>
      </c>
      <c r="E65" s="708" t="s">
        <v>3333</v>
      </c>
      <c r="F65" s="708" t="s">
        <v>2754</v>
      </c>
      <c r="G65" s="708" t="s">
        <v>2866</v>
      </c>
      <c r="H65" s="709" t="s">
        <v>2731</v>
      </c>
      <c r="I65" s="708" t="s">
        <v>3334</v>
      </c>
      <c r="J65" s="712" t="s">
        <v>2885</v>
      </c>
      <c r="K65" s="706" t="n">
        <f aca="false">K64+1</f>
        <v>63</v>
      </c>
      <c r="L65" s="711" t="s">
        <v>3335</v>
      </c>
      <c r="M65" s="708" t="n">
        <v>5</v>
      </c>
      <c r="N65" s="708" t="n">
        <v>2</v>
      </c>
      <c r="O65" s="708" t="s">
        <v>3295</v>
      </c>
      <c r="P65" s="708" t="n">
        <v>6</v>
      </c>
      <c r="Q65" s="708" t="s">
        <v>2776</v>
      </c>
      <c r="R65" s="709" t="s">
        <v>3336</v>
      </c>
      <c r="S65" s="708" t="s">
        <v>2721</v>
      </c>
      <c r="T65" s="712" t="s">
        <v>2830</v>
      </c>
      <c r="U65" s="706" t="n">
        <f aca="false">U64+1</f>
        <v>63</v>
      </c>
      <c r="V65" s="713" t="s">
        <v>3337</v>
      </c>
      <c r="W65" s="714" t="n">
        <v>5</v>
      </c>
      <c r="X65" s="714" t="n">
        <v>4</v>
      </c>
      <c r="Y65" s="715" t="s">
        <v>3231</v>
      </c>
      <c r="Z65" s="714" t="s">
        <v>2718</v>
      </c>
      <c r="AA65" s="714" t="s">
        <v>3338</v>
      </c>
      <c r="AB65" s="714" t="s">
        <v>2759</v>
      </c>
      <c r="AC65" s="714" t="s">
        <v>2757</v>
      </c>
      <c r="AD65" s="712" t="s">
        <v>3011</v>
      </c>
      <c r="AE65" s="716" t="n">
        <f aca="false">AE64+1</f>
        <v>63</v>
      </c>
      <c r="AF65" s="720" t="s">
        <v>3339</v>
      </c>
      <c r="AG65" s="714" t="n">
        <v>5</v>
      </c>
      <c r="AH65" s="714" t="n">
        <v>2</v>
      </c>
      <c r="AI65" s="715" t="s">
        <v>3262</v>
      </c>
      <c r="AJ65" s="714" t="s">
        <v>2718</v>
      </c>
      <c r="AK65" s="714" t="s">
        <v>2749</v>
      </c>
      <c r="AL65" s="714" t="s">
        <v>2772</v>
      </c>
      <c r="AM65" s="714" t="s">
        <v>2757</v>
      </c>
      <c r="AN65" s="712" t="s">
        <v>3037</v>
      </c>
      <c r="AO65" s="716" t="n">
        <f aca="false">AO64+1</f>
        <v>63</v>
      </c>
      <c r="AP65" s="713" t="s">
        <v>3319</v>
      </c>
      <c r="AQ65" s="714" t="n">
        <v>5</v>
      </c>
      <c r="AR65" s="714" t="n">
        <v>3</v>
      </c>
      <c r="AS65" s="715" t="s">
        <v>3046</v>
      </c>
      <c r="AT65" s="714" t="s">
        <v>2754</v>
      </c>
      <c r="AU65" s="714" t="s">
        <v>2755</v>
      </c>
      <c r="AV65" s="714" t="s">
        <v>3320</v>
      </c>
      <c r="AW65" s="714" t="s">
        <v>3321</v>
      </c>
      <c r="AX65" s="712" t="s">
        <v>3208</v>
      </c>
    </row>
    <row r="66" customFormat="false" ht="12.75" hidden="false" customHeight="false" outlineLevel="0" collapsed="false">
      <c r="A66" s="706" t="n">
        <f aca="false">A65+1</f>
        <v>64</v>
      </c>
      <c r="B66" s="707" t="s">
        <v>3340</v>
      </c>
      <c r="C66" s="213" t="n">
        <v>5</v>
      </c>
      <c r="D66" s="213" t="n">
        <v>3</v>
      </c>
      <c r="E66" s="213" t="s">
        <v>3070</v>
      </c>
      <c r="F66" s="213" t="n">
        <v>6</v>
      </c>
      <c r="G66" s="213" t="s">
        <v>2802</v>
      </c>
      <c r="H66" s="212" t="s">
        <v>2750</v>
      </c>
      <c r="I66" s="213" t="s">
        <v>2721</v>
      </c>
      <c r="J66" s="710" t="s">
        <v>2985</v>
      </c>
      <c r="K66" s="706" t="n">
        <f aca="false">K65+1</f>
        <v>64</v>
      </c>
      <c r="L66" s="711" t="s">
        <v>3341</v>
      </c>
      <c r="M66" s="708" t="n">
        <v>5</v>
      </c>
      <c r="N66" s="708" t="n">
        <v>3</v>
      </c>
      <c r="O66" s="708" t="s">
        <v>2748</v>
      </c>
      <c r="P66" s="708" t="s">
        <v>2754</v>
      </c>
      <c r="Q66" s="708" t="s">
        <v>2719</v>
      </c>
      <c r="R66" s="709" t="s">
        <v>3342</v>
      </c>
      <c r="S66" s="708" t="s">
        <v>3343</v>
      </c>
      <c r="T66" s="712" t="s">
        <v>2840</v>
      </c>
      <c r="U66" s="706" t="n">
        <f aca="false">U65+1</f>
        <v>64</v>
      </c>
      <c r="V66" s="713" t="s">
        <v>3344</v>
      </c>
      <c r="W66" s="714" t="n">
        <v>5</v>
      </c>
      <c r="X66" s="714" t="n">
        <v>2</v>
      </c>
      <c r="Y66" s="715" t="s">
        <v>3295</v>
      </c>
      <c r="Z66" s="714" t="s">
        <v>2718</v>
      </c>
      <c r="AA66" s="714" t="s">
        <v>2794</v>
      </c>
      <c r="AB66" s="714" t="s">
        <v>2750</v>
      </c>
      <c r="AC66" s="714" t="s">
        <v>3001</v>
      </c>
      <c r="AD66" s="712" t="s">
        <v>3011</v>
      </c>
      <c r="AE66" s="716" t="n">
        <f aca="false">AE65+1</f>
        <v>64</v>
      </c>
      <c r="AF66" s="717" t="s">
        <v>3345</v>
      </c>
      <c r="AG66" s="718" t="n">
        <v>6</v>
      </c>
      <c r="AH66" s="718" t="n">
        <v>3</v>
      </c>
      <c r="AI66" s="719" t="s">
        <v>3346</v>
      </c>
      <c r="AJ66" s="718" t="s">
        <v>2718</v>
      </c>
      <c r="AK66" s="718" t="s">
        <v>2719</v>
      </c>
      <c r="AL66" s="718" t="s">
        <v>3347</v>
      </c>
      <c r="AM66" s="718" t="s">
        <v>2958</v>
      </c>
      <c r="AN66" s="710" t="s">
        <v>2917</v>
      </c>
      <c r="AO66" s="716" t="n">
        <f aca="false">AO65+1</f>
        <v>64</v>
      </c>
      <c r="AP66" s="713" t="s">
        <v>3348</v>
      </c>
      <c r="AQ66" s="714" t="n">
        <v>5</v>
      </c>
      <c r="AR66" s="714" t="n">
        <v>3</v>
      </c>
      <c r="AS66" s="715" t="s">
        <v>3228</v>
      </c>
      <c r="AT66" s="714" t="s">
        <v>2718</v>
      </c>
      <c r="AU66" s="714" t="s">
        <v>2802</v>
      </c>
      <c r="AV66" s="714" t="s">
        <v>2858</v>
      </c>
      <c r="AW66" s="714" t="s">
        <v>2732</v>
      </c>
      <c r="AX66" s="712" t="s">
        <v>3142</v>
      </c>
    </row>
    <row r="67" customFormat="false" ht="12.75" hidden="false" customHeight="false" outlineLevel="0" collapsed="false">
      <c r="A67" s="706" t="n">
        <f aca="false">A66+1</f>
        <v>65</v>
      </c>
      <c r="B67" s="711" t="s">
        <v>3349</v>
      </c>
      <c r="C67" s="708" t="n">
        <v>5</v>
      </c>
      <c r="D67" s="708" t="n">
        <v>1</v>
      </c>
      <c r="E67" s="708" t="s">
        <v>3255</v>
      </c>
      <c r="F67" s="708" t="n">
        <v>6</v>
      </c>
      <c r="G67" s="708" t="s">
        <v>2719</v>
      </c>
      <c r="H67" s="709" t="s">
        <v>3202</v>
      </c>
      <c r="I67" s="708" t="s">
        <v>2721</v>
      </c>
      <c r="J67" s="712" t="s">
        <v>2760</v>
      </c>
      <c r="K67" s="706" t="n">
        <f aca="false">K66+1</f>
        <v>65</v>
      </c>
      <c r="L67" s="711" t="s">
        <v>3350</v>
      </c>
      <c r="M67" s="708" t="n">
        <v>5</v>
      </c>
      <c r="N67" s="708" t="n">
        <v>0</v>
      </c>
      <c r="O67" s="708" t="s">
        <v>2717</v>
      </c>
      <c r="P67" s="708" t="s">
        <v>2718</v>
      </c>
      <c r="Q67" s="708" t="s">
        <v>2719</v>
      </c>
      <c r="R67" s="709" t="s">
        <v>3351</v>
      </c>
      <c r="S67" s="708" t="s">
        <v>2785</v>
      </c>
      <c r="T67" s="712" t="s">
        <v>3058</v>
      </c>
      <c r="U67" s="706" t="n">
        <f aca="false">U66+1</f>
        <v>65</v>
      </c>
      <c r="V67" s="713" t="s">
        <v>3352</v>
      </c>
      <c r="W67" s="714" t="n">
        <v>5</v>
      </c>
      <c r="X67" s="714" t="n">
        <v>1</v>
      </c>
      <c r="Y67" s="715" t="s">
        <v>3255</v>
      </c>
      <c r="Z67" s="714" t="s">
        <v>2718</v>
      </c>
      <c r="AA67" s="714" t="s">
        <v>2749</v>
      </c>
      <c r="AB67" s="714" t="s">
        <v>2731</v>
      </c>
      <c r="AC67" s="714" t="s">
        <v>3353</v>
      </c>
      <c r="AD67" s="712" t="s">
        <v>3142</v>
      </c>
      <c r="AE67" s="716" t="n">
        <f aca="false">AE66+1</f>
        <v>65</v>
      </c>
      <c r="AF67" s="720" t="s">
        <v>3354</v>
      </c>
      <c r="AG67" s="714" t="n">
        <v>6</v>
      </c>
      <c r="AH67" s="714" t="n">
        <v>2</v>
      </c>
      <c r="AI67" s="715" t="s">
        <v>3005</v>
      </c>
      <c r="AJ67" s="714" t="s">
        <v>2718</v>
      </c>
      <c r="AK67" s="714" t="s">
        <v>2755</v>
      </c>
      <c r="AL67" s="714" t="s">
        <v>2759</v>
      </c>
      <c r="AM67" s="714" t="s">
        <v>2854</v>
      </c>
      <c r="AN67" s="712" t="s">
        <v>2803</v>
      </c>
      <c r="AO67" s="716" t="n">
        <f aca="false">AO66+1</f>
        <v>65</v>
      </c>
      <c r="AP67" s="721" t="s">
        <v>3355</v>
      </c>
      <c r="AQ67" s="718" t="n">
        <v>6</v>
      </c>
      <c r="AR67" s="718" t="n">
        <v>2</v>
      </c>
      <c r="AS67" s="719" t="s">
        <v>3356</v>
      </c>
      <c r="AT67" s="718" t="s">
        <v>2718</v>
      </c>
      <c r="AU67" s="718" t="s">
        <v>2802</v>
      </c>
      <c r="AV67" s="718" t="s">
        <v>2858</v>
      </c>
      <c r="AW67" s="718" t="s">
        <v>2732</v>
      </c>
      <c r="AX67" s="710" t="s">
        <v>2752</v>
      </c>
    </row>
    <row r="68" customFormat="false" ht="12.75" hidden="false" customHeight="false" outlineLevel="0" collapsed="false">
      <c r="A68" s="706" t="n">
        <f aca="false">A67+1</f>
        <v>66</v>
      </c>
      <c r="B68" s="711" t="s">
        <v>3357</v>
      </c>
      <c r="C68" s="708" t="n">
        <v>5</v>
      </c>
      <c r="D68" s="708" t="n">
        <v>1</v>
      </c>
      <c r="E68" s="708" t="s">
        <v>3356</v>
      </c>
      <c r="F68" s="708" t="s">
        <v>2754</v>
      </c>
      <c r="G68" s="708" t="s">
        <v>2891</v>
      </c>
      <c r="H68" s="709" t="s">
        <v>3358</v>
      </c>
      <c r="I68" s="708" t="s">
        <v>2777</v>
      </c>
      <c r="J68" s="712" t="s">
        <v>2815</v>
      </c>
      <c r="K68" s="706" t="n">
        <f aca="false">K67+1</f>
        <v>66</v>
      </c>
      <c r="L68" s="711" t="s">
        <v>3359</v>
      </c>
      <c r="M68" s="708" t="n">
        <v>5</v>
      </c>
      <c r="N68" s="708" t="n">
        <v>1</v>
      </c>
      <c r="O68" s="708" t="s">
        <v>3295</v>
      </c>
      <c r="P68" s="708" t="s">
        <v>2718</v>
      </c>
      <c r="Q68" s="708" t="s">
        <v>2891</v>
      </c>
      <c r="R68" s="709" t="s">
        <v>3360</v>
      </c>
      <c r="S68" s="708" t="s">
        <v>2732</v>
      </c>
      <c r="T68" s="712" t="s">
        <v>2833</v>
      </c>
      <c r="U68" s="706" t="n">
        <f aca="false">U67+1</f>
        <v>66</v>
      </c>
      <c r="V68" s="713" t="s">
        <v>3348</v>
      </c>
      <c r="W68" s="714" t="n">
        <v>5</v>
      </c>
      <c r="X68" s="714" t="n">
        <v>3</v>
      </c>
      <c r="Y68" s="715" t="s">
        <v>3228</v>
      </c>
      <c r="Z68" s="714" t="s">
        <v>2718</v>
      </c>
      <c r="AA68" s="714" t="s">
        <v>2802</v>
      </c>
      <c r="AB68" s="714" t="s">
        <v>2858</v>
      </c>
      <c r="AC68" s="714" t="s">
        <v>2732</v>
      </c>
      <c r="AD68" s="712" t="s">
        <v>3142</v>
      </c>
      <c r="AE68" s="716" t="n">
        <f aca="false">AE67+1</f>
        <v>66</v>
      </c>
      <c r="AF68" s="720" t="s">
        <v>3361</v>
      </c>
      <c r="AG68" s="714" t="n">
        <v>6</v>
      </c>
      <c r="AH68" s="714" t="n">
        <v>3</v>
      </c>
      <c r="AI68" s="715" t="s">
        <v>3362</v>
      </c>
      <c r="AJ68" s="714" t="s">
        <v>2718</v>
      </c>
      <c r="AK68" s="714" t="s">
        <v>2891</v>
      </c>
      <c r="AL68" s="714" t="s">
        <v>2772</v>
      </c>
      <c r="AM68" s="714" t="s">
        <v>3001</v>
      </c>
      <c r="AN68" s="712" t="s">
        <v>2803</v>
      </c>
      <c r="AO68" s="716" t="n">
        <f aca="false">AO67+1</f>
        <v>66</v>
      </c>
      <c r="AP68" s="711" t="s">
        <v>3363</v>
      </c>
      <c r="AQ68" s="708" t="n">
        <v>6</v>
      </c>
      <c r="AR68" s="708" t="n">
        <v>1</v>
      </c>
      <c r="AS68" s="708" t="s">
        <v>3244</v>
      </c>
      <c r="AT68" s="708" t="s">
        <v>2718</v>
      </c>
      <c r="AU68" s="708" t="s">
        <v>2719</v>
      </c>
      <c r="AV68" s="709" t="s">
        <v>3202</v>
      </c>
      <c r="AW68" s="708" t="s">
        <v>3343</v>
      </c>
      <c r="AX68" s="712" t="s">
        <v>2942</v>
      </c>
    </row>
    <row r="69" customFormat="false" ht="12.75" hidden="false" customHeight="false" outlineLevel="0" collapsed="false">
      <c r="A69" s="706" t="n">
        <f aca="false">A68+1</f>
        <v>67</v>
      </c>
      <c r="B69" s="711" t="s">
        <v>3364</v>
      </c>
      <c r="C69" s="708" t="n">
        <v>5</v>
      </c>
      <c r="D69" s="708" t="n">
        <v>3</v>
      </c>
      <c r="E69" s="708" t="s">
        <v>3070</v>
      </c>
      <c r="F69" s="708" t="s">
        <v>2718</v>
      </c>
      <c r="G69" s="708" t="s">
        <v>2755</v>
      </c>
      <c r="H69" s="709" t="s">
        <v>2858</v>
      </c>
      <c r="I69" s="708" t="s">
        <v>3365</v>
      </c>
      <c r="J69" s="712" t="s">
        <v>2840</v>
      </c>
      <c r="K69" s="706" t="n">
        <f aca="false">K68+1</f>
        <v>67</v>
      </c>
      <c r="L69" s="711" t="s">
        <v>3366</v>
      </c>
      <c r="M69" s="708" t="n">
        <v>5</v>
      </c>
      <c r="N69" s="708" t="n">
        <v>1</v>
      </c>
      <c r="O69" s="708" t="s">
        <v>3186</v>
      </c>
      <c r="P69" s="708" t="s">
        <v>2754</v>
      </c>
      <c r="Q69" s="708" t="s">
        <v>2802</v>
      </c>
      <c r="R69" s="709" t="s">
        <v>3367</v>
      </c>
      <c r="S69" s="708" t="s">
        <v>2785</v>
      </c>
      <c r="T69" s="712" t="s">
        <v>2833</v>
      </c>
      <c r="U69" s="706" t="n">
        <f aca="false">U68+1</f>
        <v>67</v>
      </c>
      <c r="V69" s="721" t="s">
        <v>3368</v>
      </c>
      <c r="W69" s="718" t="n">
        <v>6</v>
      </c>
      <c r="X69" s="718" t="n">
        <v>1</v>
      </c>
      <c r="Y69" s="719" t="s">
        <v>3046</v>
      </c>
      <c r="Z69" s="718" t="n">
        <v>6</v>
      </c>
      <c r="AA69" s="718" t="s">
        <v>2719</v>
      </c>
      <c r="AB69" s="718" t="s">
        <v>2750</v>
      </c>
      <c r="AC69" s="718" t="s">
        <v>3330</v>
      </c>
      <c r="AD69" s="710" t="s">
        <v>2781</v>
      </c>
      <c r="AE69" s="716" t="n">
        <f aca="false">AE68+1</f>
        <v>67</v>
      </c>
      <c r="AF69" s="720" t="s">
        <v>3369</v>
      </c>
      <c r="AG69" s="714" t="n">
        <v>6</v>
      </c>
      <c r="AH69" s="714" t="n">
        <v>2</v>
      </c>
      <c r="AI69" s="715" t="s">
        <v>3255</v>
      </c>
      <c r="AJ69" s="714" t="s">
        <v>2754</v>
      </c>
      <c r="AK69" s="714" t="s">
        <v>2891</v>
      </c>
      <c r="AL69" s="714" t="s">
        <v>3370</v>
      </c>
      <c r="AM69" s="714" t="s">
        <v>2992</v>
      </c>
      <c r="AN69" s="712" t="s">
        <v>3190</v>
      </c>
      <c r="AO69" s="716" t="n">
        <f aca="false">AO68+1</f>
        <v>67</v>
      </c>
      <c r="AP69" s="711" t="s">
        <v>3371</v>
      </c>
      <c r="AQ69" s="708" t="n">
        <v>6</v>
      </c>
      <c r="AR69" s="708" t="s">
        <v>3372</v>
      </c>
      <c r="AS69" s="708" t="s">
        <v>3346</v>
      </c>
      <c r="AT69" s="708" t="n">
        <v>9</v>
      </c>
      <c r="AU69" s="708" t="s">
        <v>2755</v>
      </c>
      <c r="AV69" s="709" t="s">
        <v>2967</v>
      </c>
      <c r="AW69" s="708" t="s">
        <v>2732</v>
      </c>
      <c r="AX69" s="712" t="s">
        <v>3049</v>
      </c>
    </row>
    <row r="70" customFormat="false" ht="12.75" hidden="false" customHeight="false" outlineLevel="0" collapsed="false">
      <c r="A70" s="706" t="n">
        <f aca="false">A69+1</f>
        <v>68</v>
      </c>
      <c r="B70" s="711" t="s">
        <v>3305</v>
      </c>
      <c r="C70" s="708" t="n">
        <v>5</v>
      </c>
      <c r="D70" s="708" t="n">
        <v>3</v>
      </c>
      <c r="E70" s="708" t="s">
        <v>3255</v>
      </c>
      <c r="F70" s="708" t="n">
        <v>6</v>
      </c>
      <c r="G70" s="708" t="s">
        <v>2719</v>
      </c>
      <c r="H70" s="709" t="s">
        <v>3306</v>
      </c>
      <c r="I70" s="708" t="s">
        <v>3027</v>
      </c>
      <c r="J70" s="712" t="s">
        <v>2843</v>
      </c>
      <c r="K70" s="706" t="n">
        <f aca="false">K69+1</f>
        <v>68</v>
      </c>
      <c r="L70" s="711" t="s">
        <v>3373</v>
      </c>
      <c r="M70" s="708" t="n">
        <v>5</v>
      </c>
      <c r="N70" s="708" t="n">
        <v>5</v>
      </c>
      <c r="O70" s="708" t="s">
        <v>3255</v>
      </c>
      <c r="P70" s="708" t="s">
        <v>2718</v>
      </c>
      <c r="Q70" s="708" t="s">
        <v>2794</v>
      </c>
      <c r="R70" s="709" t="s">
        <v>3374</v>
      </c>
      <c r="S70" s="708" t="s">
        <v>2757</v>
      </c>
      <c r="T70" s="712" t="s">
        <v>3011</v>
      </c>
      <c r="U70" s="706" t="n">
        <f aca="false">U69+1</f>
        <v>68</v>
      </c>
      <c r="V70" s="713" t="s">
        <v>3375</v>
      </c>
      <c r="W70" s="714" t="n">
        <v>6</v>
      </c>
      <c r="X70" s="714" t="n">
        <v>3</v>
      </c>
      <c r="Y70" s="715" t="s">
        <v>3070</v>
      </c>
      <c r="Z70" s="714" t="s">
        <v>2718</v>
      </c>
      <c r="AA70" s="714" t="s">
        <v>2749</v>
      </c>
      <c r="AB70" s="714" t="s">
        <v>2750</v>
      </c>
      <c r="AC70" s="714" t="s">
        <v>2931</v>
      </c>
      <c r="AD70" s="712" t="s">
        <v>2752</v>
      </c>
      <c r="AE70" s="716" t="n">
        <f aca="false">AE69+1</f>
        <v>68</v>
      </c>
      <c r="AF70" s="720" t="s">
        <v>3376</v>
      </c>
      <c r="AG70" s="714" t="n">
        <v>6</v>
      </c>
      <c r="AH70" s="714" t="n">
        <v>2</v>
      </c>
      <c r="AI70" s="715" t="s">
        <v>3262</v>
      </c>
      <c r="AJ70" s="714" t="s">
        <v>2718</v>
      </c>
      <c r="AK70" s="714" t="s">
        <v>2719</v>
      </c>
      <c r="AL70" s="714" t="s">
        <v>3377</v>
      </c>
      <c r="AM70" s="714" t="s">
        <v>2780</v>
      </c>
      <c r="AN70" s="712" t="s">
        <v>3282</v>
      </c>
      <c r="AO70" s="716" t="n">
        <f aca="false">AO69+1</f>
        <v>68</v>
      </c>
      <c r="AP70" s="711" t="s">
        <v>3378</v>
      </c>
      <c r="AQ70" s="708" t="n">
        <v>6</v>
      </c>
      <c r="AR70" s="708" t="n">
        <v>2</v>
      </c>
      <c r="AS70" s="708" t="s">
        <v>3346</v>
      </c>
      <c r="AT70" s="708" t="n">
        <v>6</v>
      </c>
      <c r="AU70" s="708" t="s">
        <v>2719</v>
      </c>
      <c r="AV70" s="709" t="s">
        <v>3379</v>
      </c>
      <c r="AW70" s="708" t="s">
        <v>2785</v>
      </c>
      <c r="AX70" s="712" t="s">
        <v>3282</v>
      </c>
    </row>
    <row r="71" customFormat="false" ht="12.75" hidden="false" customHeight="false" outlineLevel="0" collapsed="false">
      <c r="A71" s="706" t="n">
        <f aca="false">A70+1</f>
        <v>69</v>
      </c>
      <c r="B71" s="711" t="s">
        <v>3380</v>
      </c>
      <c r="C71" s="708" t="n">
        <v>5</v>
      </c>
      <c r="D71" s="708" t="n">
        <v>1</v>
      </c>
      <c r="E71" s="708" t="s">
        <v>3244</v>
      </c>
      <c r="F71" s="708" t="s">
        <v>2754</v>
      </c>
      <c r="G71" s="708" t="s">
        <v>2891</v>
      </c>
      <c r="H71" s="709" t="s">
        <v>2772</v>
      </c>
      <c r="I71" s="708" t="s">
        <v>3365</v>
      </c>
      <c r="J71" s="712" t="s">
        <v>3236</v>
      </c>
      <c r="K71" s="706" t="n">
        <f aca="false">K70+1</f>
        <v>69</v>
      </c>
      <c r="L71" s="711" t="s">
        <v>3381</v>
      </c>
      <c r="M71" s="708" t="n">
        <v>5</v>
      </c>
      <c r="N71" s="708" t="n">
        <v>3</v>
      </c>
      <c r="O71" s="708" t="s">
        <v>2748</v>
      </c>
      <c r="P71" s="708" t="n">
        <v>6</v>
      </c>
      <c r="Q71" s="708" t="s">
        <v>2802</v>
      </c>
      <c r="R71" s="709" t="s">
        <v>3382</v>
      </c>
      <c r="S71" s="708" t="s">
        <v>2785</v>
      </c>
      <c r="T71" s="712" t="s">
        <v>2885</v>
      </c>
      <c r="U71" s="706" t="n">
        <f aca="false">U70+1</f>
        <v>69</v>
      </c>
      <c r="V71" s="713" t="s">
        <v>3355</v>
      </c>
      <c r="W71" s="714" t="n">
        <v>6</v>
      </c>
      <c r="X71" s="714" t="n">
        <v>2</v>
      </c>
      <c r="Y71" s="715" t="s">
        <v>3356</v>
      </c>
      <c r="Z71" s="714" t="s">
        <v>2718</v>
      </c>
      <c r="AA71" s="714" t="s">
        <v>2802</v>
      </c>
      <c r="AB71" s="714" t="s">
        <v>2858</v>
      </c>
      <c r="AC71" s="714" t="s">
        <v>2732</v>
      </c>
      <c r="AD71" s="712" t="s">
        <v>2752</v>
      </c>
      <c r="AE71" s="716" t="n">
        <f aca="false">AE70+1</f>
        <v>69</v>
      </c>
      <c r="AF71" s="720" t="s">
        <v>3383</v>
      </c>
      <c r="AG71" s="714" t="n">
        <v>6</v>
      </c>
      <c r="AH71" s="714" t="n">
        <v>1</v>
      </c>
      <c r="AI71" s="715" t="s">
        <v>3052</v>
      </c>
      <c r="AJ71" s="714" t="s">
        <v>2718</v>
      </c>
      <c r="AK71" s="714" t="s">
        <v>2719</v>
      </c>
      <c r="AL71" s="714" t="s">
        <v>2858</v>
      </c>
      <c r="AM71" s="714" t="s">
        <v>2854</v>
      </c>
      <c r="AN71" s="712" t="s">
        <v>3236</v>
      </c>
      <c r="AO71" s="716" t="n">
        <f aca="false">AO70+1</f>
        <v>69</v>
      </c>
      <c r="AP71" s="713" t="s">
        <v>992</v>
      </c>
      <c r="AQ71" s="714" t="n">
        <v>6</v>
      </c>
      <c r="AR71" s="714" t="n">
        <v>3</v>
      </c>
      <c r="AS71" s="715" t="s">
        <v>3384</v>
      </c>
      <c r="AT71" s="714" t="s">
        <v>2718</v>
      </c>
      <c r="AU71" s="714" t="s">
        <v>2719</v>
      </c>
      <c r="AV71" s="714" t="s">
        <v>3385</v>
      </c>
      <c r="AW71" s="714" t="s">
        <v>2732</v>
      </c>
      <c r="AX71" s="712" t="s">
        <v>2864</v>
      </c>
    </row>
    <row r="72" customFormat="false" ht="12.75" hidden="false" customHeight="false" outlineLevel="0" collapsed="false">
      <c r="A72" s="706" t="n">
        <f aca="false">A71+1</f>
        <v>70</v>
      </c>
      <c r="B72" s="711" t="s">
        <v>3386</v>
      </c>
      <c r="C72" s="708" t="n">
        <v>5</v>
      </c>
      <c r="D72" s="708" t="n">
        <v>2</v>
      </c>
      <c r="E72" s="708" t="s">
        <v>3046</v>
      </c>
      <c r="F72" s="708" t="s">
        <v>2718</v>
      </c>
      <c r="G72" s="708" t="s">
        <v>2719</v>
      </c>
      <c r="H72" s="709" t="s">
        <v>3387</v>
      </c>
      <c r="I72" s="708" t="s">
        <v>2965</v>
      </c>
      <c r="J72" s="712" t="s">
        <v>2818</v>
      </c>
      <c r="K72" s="706" t="n">
        <f aca="false">K71+1</f>
        <v>70</v>
      </c>
      <c r="L72" s="707" t="s">
        <v>3388</v>
      </c>
      <c r="M72" s="213" t="n">
        <v>6</v>
      </c>
      <c r="N72" s="213" t="n">
        <v>2</v>
      </c>
      <c r="O72" s="213" t="s">
        <v>3389</v>
      </c>
      <c r="P72" s="213" t="s">
        <v>2718</v>
      </c>
      <c r="Q72" s="213" t="s">
        <v>2719</v>
      </c>
      <c r="R72" s="212" t="s">
        <v>2750</v>
      </c>
      <c r="S72" s="213" t="s">
        <v>2785</v>
      </c>
      <c r="T72" s="710" t="s">
        <v>2733</v>
      </c>
      <c r="U72" s="706" t="n">
        <f aca="false">U71+1</f>
        <v>70</v>
      </c>
      <c r="V72" s="713" t="s">
        <v>3390</v>
      </c>
      <c r="W72" s="714" t="n">
        <v>6</v>
      </c>
      <c r="X72" s="714" t="s">
        <v>2908</v>
      </c>
      <c r="Y72" s="715" t="s">
        <v>3391</v>
      </c>
      <c r="Z72" s="714" t="n">
        <v>10</v>
      </c>
      <c r="AA72" s="714" t="s">
        <v>2719</v>
      </c>
      <c r="AB72" s="714" t="s">
        <v>3392</v>
      </c>
      <c r="AC72" s="714" t="s">
        <v>3393</v>
      </c>
      <c r="AD72" s="712" t="s">
        <v>3140</v>
      </c>
      <c r="AE72" s="716" t="n">
        <f aca="false">AE71+1</f>
        <v>70</v>
      </c>
      <c r="AF72" s="720" t="s">
        <v>3394</v>
      </c>
      <c r="AG72" s="714" t="n">
        <v>6</v>
      </c>
      <c r="AH72" s="714" t="n">
        <v>3</v>
      </c>
      <c r="AI72" s="715" t="s">
        <v>3395</v>
      </c>
      <c r="AJ72" s="714" t="s">
        <v>2718</v>
      </c>
      <c r="AK72" s="714" t="s">
        <v>2755</v>
      </c>
      <c r="AL72" s="714" t="s">
        <v>3396</v>
      </c>
      <c r="AM72" s="714" t="s">
        <v>3027</v>
      </c>
      <c r="AN72" s="712" t="s">
        <v>3236</v>
      </c>
      <c r="AO72" s="716" t="n">
        <f aca="false">AO71+1</f>
        <v>70</v>
      </c>
      <c r="AP72" s="720" t="s">
        <v>3397</v>
      </c>
      <c r="AQ72" s="714" t="n">
        <v>6</v>
      </c>
      <c r="AR72" s="714" t="n">
        <v>2</v>
      </c>
      <c r="AS72" s="715" t="s">
        <v>2928</v>
      </c>
      <c r="AT72" s="714" t="s">
        <v>2718</v>
      </c>
      <c r="AU72" s="714" t="s">
        <v>2802</v>
      </c>
      <c r="AV72" s="714" t="s">
        <v>3398</v>
      </c>
      <c r="AW72" s="714" t="s">
        <v>2796</v>
      </c>
      <c r="AX72" s="712" t="s">
        <v>2868</v>
      </c>
    </row>
    <row r="73" customFormat="false" ht="12.75" hidden="false" customHeight="false" outlineLevel="0" collapsed="false">
      <c r="A73" s="706" t="n">
        <f aca="false">A72+1</f>
        <v>71</v>
      </c>
      <c r="B73" s="711" t="s">
        <v>3313</v>
      </c>
      <c r="C73" s="708" t="n">
        <v>5</v>
      </c>
      <c r="D73" s="708" t="n">
        <v>4</v>
      </c>
      <c r="E73" s="708" t="s">
        <v>3070</v>
      </c>
      <c r="F73" s="708" t="s">
        <v>2718</v>
      </c>
      <c r="G73" s="708" t="s">
        <v>2719</v>
      </c>
      <c r="H73" s="709" t="s">
        <v>3314</v>
      </c>
      <c r="I73" s="708" t="s">
        <v>3315</v>
      </c>
      <c r="J73" s="712" t="s">
        <v>3058</v>
      </c>
      <c r="K73" s="706" t="n">
        <f aca="false">K72+1</f>
        <v>71</v>
      </c>
      <c r="L73" s="711" t="s">
        <v>3399</v>
      </c>
      <c r="M73" s="708" t="n">
        <v>6</v>
      </c>
      <c r="N73" s="708" t="n">
        <v>4</v>
      </c>
      <c r="O73" s="708" t="s">
        <v>3384</v>
      </c>
      <c r="P73" s="708" t="s">
        <v>3400</v>
      </c>
      <c r="Q73" s="708" t="s">
        <v>2719</v>
      </c>
      <c r="R73" s="709" t="s">
        <v>3401</v>
      </c>
      <c r="S73" s="708" t="s">
        <v>3207</v>
      </c>
      <c r="T73" s="712" t="s">
        <v>3140</v>
      </c>
      <c r="U73" s="706" t="n">
        <f aca="false">U72+1</f>
        <v>71</v>
      </c>
      <c r="V73" s="713" t="s">
        <v>3402</v>
      </c>
      <c r="W73" s="714" t="n">
        <v>6</v>
      </c>
      <c r="X73" s="714" t="s">
        <v>3065</v>
      </c>
      <c r="Y73" s="715" t="s">
        <v>3346</v>
      </c>
      <c r="Z73" s="714" t="s">
        <v>2718</v>
      </c>
      <c r="AA73" s="714" t="s">
        <v>2802</v>
      </c>
      <c r="AB73" s="714" t="s">
        <v>3403</v>
      </c>
      <c r="AC73" s="714" t="s">
        <v>2732</v>
      </c>
      <c r="AD73" s="712" t="s">
        <v>2760</v>
      </c>
      <c r="AE73" s="716" t="n">
        <f aca="false">AE72+1</f>
        <v>71</v>
      </c>
      <c r="AF73" s="720" t="s">
        <v>3404</v>
      </c>
      <c r="AG73" s="714" t="n">
        <v>6</v>
      </c>
      <c r="AH73" s="714" t="s">
        <v>3065</v>
      </c>
      <c r="AI73" s="715" t="s">
        <v>3405</v>
      </c>
      <c r="AJ73" s="714" t="s">
        <v>2754</v>
      </c>
      <c r="AK73" s="714" t="s">
        <v>2856</v>
      </c>
      <c r="AL73" s="714" t="s">
        <v>2784</v>
      </c>
      <c r="AM73" s="714" t="s">
        <v>2732</v>
      </c>
      <c r="AN73" s="712" t="s">
        <v>3200</v>
      </c>
      <c r="AO73" s="716" t="n">
        <f aca="false">AO72+1</f>
        <v>71</v>
      </c>
      <c r="AP73" s="711" t="s">
        <v>3406</v>
      </c>
      <c r="AQ73" s="708" t="n">
        <v>6</v>
      </c>
      <c r="AR73" s="708" t="n">
        <v>3</v>
      </c>
      <c r="AS73" s="708" t="s">
        <v>3346</v>
      </c>
      <c r="AT73" s="708" t="s">
        <v>2718</v>
      </c>
      <c r="AU73" s="708" t="s">
        <v>2856</v>
      </c>
      <c r="AV73" s="709" t="s">
        <v>3064</v>
      </c>
      <c r="AW73" s="708" t="s">
        <v>2751</v>
      </c>
      <c r="AX73" s="712" t="s">
        <v>3024</v>
      </c>
    </row>
    <row r="74" customFormat="false" ht="12.75" hidden="false" customHeight="false" outlineLevel="0" collapsed="false">
      <c r="A74" s="706" t="n">
        <f aca="false">A73+1</f>
        <v>72</v>
      </c>
      <c r="B74" s="711" t="s">
        <v>3324</v>
      </c>
      <c r="C74" s="708" t="n">
        <v>5</v>
      </c>
      <c r="D74" s="708" t="n">
        <v>2</v>
      </c>
      <c r="E74" s="708" t="s">
        <v>3295</v>
      </c>
      <c r="F74" s="708" t="s">
        <v>2718</v>
      </c>
      <c r="G74" s="708" t="s">
        <v>2719</v>
      </c>
      <c r="H74" s="709" t="s">
        <v>3325</v>
      </c>
      <c r="I74" s="708" t="s">
        <v>3027</v>
      </c>
      <c r="J74" s="712" t="s">
        <v>2871</v>
      </c>
      <c r="K74" s="706" t="n">
        <f aca="false">K73+1</f>
        <v>72</v>
      </c>
      <c r="L74" s="711" t="s">
        <v>3407</v>
      </c>
      <c r="M74" s="708" t="n">
        <v>6</v>
      </c>
      <c r="N74" s="708" t="n">
        <v>3</v>
      </c>
      <c r="O74" s="726" t="s">
        <v>3124</v>
      </c>
      <c r="P74" s="708" t="n">
        <v>6</v>
      </c>
      <c r="Q74" s="708" t="s">
        <v>2755</v>
      </c>
      <c r="R74" s="709" t="s">
        <v>3408</v>
      </c>
      <c r="S74" s="708" t="s">
        <v>3035</v>
      </c>
      <c r="T74" s="712" t="s">
        <v>2769</v>
      </c>
      <c r="U74" s="706" t="n">
        <f aca="false">U73+1</f>
        <v>72</v>
      </c>
      <c r="V74" s="713" t="s">
        <v>3409</v>
      </c>
      <c r="W74" s="714" t="n">
        <v>6</v>
      </c>
      <c r="X74" s="714" t="n">
        <v>1</v>
      </c>
      <c r="Y74" s="715" t="s">
        <v>3117</v>
      </c>
      <c r="Z74" s="714" t="s">
        <v>2718</v>
      </c>
      <c r="AA74" s="714" t="s">
        <v>2823</v>
      </c>
      <c r="AB74" s="714" t="s">
        <v>2772</v>
      </c>
      <c r="AC74" s="714" t="s">
        <v>2931</v>
      </c>
      <c r="AD74" s="712" t="s">
        <v>3049</v>
      </c>
      <c r="AE74" s="716" t="n">
        <f aca="false">AE73+1</f>
        <v>72</v>
      </c>
      <c r="AF74" s="720" t="s">
        <v>3410</v>
      </c>
      <c r="AG74" s="714" t="n">
        <v>6</v>
      </c>
      <c r="AH74" s="714" t="n">
        <v>2</v>
      </c>
      <c r="AI74" s="715" t="s">
        <v>3395</v>
      </c>
      <c r="AJ74" s="714" t="s">
        <v>2718</v>
      </c>
      <c r="AK74" s="714" t="s">
        <v>2749</v>
      </c>
      <c r="AL74" s="714" t="s">
        <v>3411</v>
      </c>
      <c r="AM74" s="714" t="s">
        <v>3068</v>
      </c>
      <c r="AN74" s="712" t="s">
        <v>2864</v>
      </c>
      <c r="AO74" s="716" t="n">
        <f aca="false">AO73+1</f>
        <v>72</v>
      </c>
      <c r="AP74" s="711" t="s">
        <v>3412</v>
      </c>
      <c r="AQ74" s="708" t="n">
        <v>6</v>
      </c>
      <c r="AR74" s="708" t="n">
        <v>3</v>
      </c>
      <c r="AS74" s="708" t="s">
        <v>3244</v>
      </c>
      <c r="AT74" s="708" t="n">
        <v>6</v>
      </c>
      <c r="AU74" s="708" t="s">
        <v>2891</v>
      </c>
      <c r="AV74" s="709" t="s">
        <v>3413</v>
      </c>
      <c r="AW74" s="708" t="s">
        <v>2982</v>
      </c>
      <c r="AX74" s="712" t="s">
        <v>2879</v>
      </c>
    </row>
    <row r="75" customFormat="false" ht="12.75" hidden="false" customHeight="false" outlineLevel="0" collapsed="false">
      <c r="A75" s="706" t="n">
        <f aca="false">A74+1</f>
        <v>73</v>
      </c>
      <c r="B75" s="711" t="s">
        <v>3414</v>
      </c>
      <c r="C75" s="708" t="n">
        <v>5</v>
      </c>
      <c r="D75" s="708" t="n">
        <v>1</v>
      </c>
      <c r="E75" s="708" t="s">
        <v>3295</v>
      </c>
      <c r="F75" s="708" t="s">
        <v>2718</v>
      </c>
      <c r="G75" s="708" t="s">
        <v>2749</v>
      </c>
      <c r="H75" s="709" t="s">
        <v>3415</v>
      </c>
      <c r="I75" s="708" t="s">
        <v>2777</v>
      </c>
      <c r="J75" s="712" t="s">
        <v>2989</v>
      </c>
      <c r="K75" s="706" t="n">
        <f aca="false">K74+1</f>
        <v>73</v>
      </c>
      <c r="L75" s="711" t="s">
        <v>3416</v>
      </c>
      <c r="M75" s="708" t="n">
        <v>6</v>
      </c>
      <c r="N75" s="708" t="n">
        <v>3</v>
      </c>
      <c r="O75" s="708" t="s">
        <v>3077</v>
      </c>
      <c r="P75" s="708" t="s">
        <v>2754</v>
      </c>
      <c r="Q75" s="708" t="s">
        <v>2736</v>
      </c>
      <c r="R75" s="709" t="s">
        <v>2731</v>
      </c>
      <c r="S75" s="708" t="s">
        <v>2821</v>
      </c>
      <c r="T75" s="712" t="s">
        <v>2773</v>
      </c>
      <c r="U75" s="706" t="n">
        <f aca="false">U74+1</f>
        <v>73</v>
      </c>
      <c r="V75" s="713" t="s">
        <v>3417</v>
      </c>
      <c r="W75" s="714" t="n">
        <v>6</v>
      </c>
      <c r="X75" s="714" t="n">
        <v>3</v>
      </c>
      <c r="Y75" s="715" t="s">
        <v>3384</v>
      </c>
      <c r="Z75" s="714" t="s">
        <v>2754</v>
      </c>
      <c r="AA75" s="714" t="s">
        <v>2719</v>
      </c>
      <c r="AB75" s="714" t="s">
        <v>3418</v>
      </c>
      <c r="AC75" s="714" t="s">
        <v>3001</v>
      </c>
      <c r="AD75" s="712" t="s">
        <v>2837</v>
      </c>
      <c r="AE75" s="716" t="n">
        <f aca="false">AE74+1</f>
        <v>73</v>
      </c>
      <c r="AF75" s="720" t="s">
        <v>3419</v>
      </c>
      <c r="AG75" s="714" t="n">
        <v>6</v>
      </c>
      <c r="AH75" s="714" t="n">
        <v>2</v>
      </c>
      <c r="AI75" s="715" t="s">
        <v>3117</v>
      </c>
      <c r="AJ75" s="714" t="s">
        <v>2718</v>
      </c>
      <c r="AK75" s="714" t="s">
        <v>2891</v>
      </c>
      <c r="AL75" s="714" t="s">
        <v>3385</v>
      </c>
      <c r="AM75" s="714" t="s">
        <v>2732</v>
      </c>
      <c r="AN75" s="712" t="s">
        <v>2864</v>
      </c>
      <c r="AO75" s="716" t="n">
        <f aca="false">AO74+1</f>
        <v>73</v>
      </c>
      <c r="AP75" s="711" t="s">
        <v>3420</v>
      </c>
      <c r="AQ75" s="708" t="n">
        <v>6</v>
      </c>
      <c r="AR75" s="708" t="n">
        <v>3</v>
      </c>
      <c r="AS75" s="708" t="s">
        <v>3421</v>
      </c>
      <c r="AT75" s="708" t="s">
        <v>2718</v>
      </c>
      <c r="AU75" s="708" t="s">
        <v>2755</v>
      </c>
      <c r="AV75" s="709" t="s">
        <v>3422</v>
      </c>
      <c r="AW75" s="708" t="s">
        <v>3343</v>
      </c>
      <c r="AX75" s="712" t="s">
        <v>2879</v>
      </c>
    </row>
    <row r="76" customFormat="false" ht="12.75" hidden="false" customHeight="false" outlineLevel="0" collapsed="false">
      <c r="A76" s="706" t="n">
        <f aca="false">A75+1</f>
        <v>74</v>
      </c>
      <c r="B76" s="711" t="s">
        <v>3423</v>
      </c>
      <c r="C76" s="708" t="n">
        <v>5</v>
      </c>
      <c r="D76" s="708" t="n">
        <v>1</v>
      </c>
      <c r="E76" s="708" t="s">
        <v>3117</v>
      </c>
      <c r="F76" s="708" t="s">
        <v>2718</v>
      </c>
      <c r="G76" s="708" t="s">
        <v>2802</v>
      </c>
      <c r="H76" s="709" t="s">
        <v>3424</v>
      </c>
      <c r="I76" s="708" t="s">
        <v>2796</v>
      </c>
      <c r="J76" s="712" t="s">
        <v>3037</v>
      </c>
      <c r="K76" s="706" t="n">
        <f aca="false">K75+1</f>
        <v>74</v>
      </c>
      <c r="L76" s="711" t="s">
        <v>3371</v>
      </c>
      <c r="M76" s="708" t="n">
        <v>6</v>
      </c>
      <c r="N76" s="708" t="s">
        <v>3372</v>
      </c>
      <c r="O76" s="708" t="s">
        <v>3346</v>
      </c>
      <c r="P76" s="708" t="n">
        <v>9</v>
      </c>
      <c r="Q76" s="708" t="s">
        <v>2755</v>
      </c>
      <c r="R76" s="709" t="s">
        <v>2967</v>
      </c>
      <c r="S76" s="708" t="s">
        <v>2732</v>
      </c>
      <c r="T76" s="712" t="s">
        <v>3049</v>
      </c>
      <c r="U76" s="706" t="n">
        <f aca="false">U75+1</f>
        <v>74</v>
      </c>
      <c r="V76" s="713" t="s">
        <v>992</v>
      </c>
      <c r="W76" s="714" t="n">
        <v>6</v>
      </c>
      <c r="X76" s="714" t="n">
        <v>3</v>
      </c>
      <c r="Y76" s="715" t="s">
        <v>3384</v>
      </c>
      <c r="Z76" s="714" t="s">
        <v>2718</v>
      </c>
      <c r="AA76" s="714" t="s">
        <v>2719</v>
      </c>
      <c r="AB76" s="714" t="s">
        <v>3385</v>
      </c>
      <c r="AC76" s="714" t="s">
        <v>2732</v>
      </c>
      <c r="AD76" s="712" t="s">
        <v>2864</v>
      </c>
      <c r="AE76" s="716" t="n">
        <f aca="false">AE75+1</f>
        <v>74</v>
      </c>
      <c r="AF76" s="720" t="s">
        <v>3397</v>
      </c>
      <c r="AG76" s="714" t="n">
        <v>6</v>
      </c>
      <c r="AH76" s="714" t="n">
        <v>2</v>
      </c>
      <c r="AI76" s="715" t="s">
        <v>2928</v>
      </c>
      <c r="AJ76" s="714" t="s">
        <v>2718</v>
      </c>
      <c r="AK76" s="714" t="s">
        <v>2802</v>
      </c>
      <c r="AL76" s="714" t="s">
        <v>3398</v>
      </c>
      <c r="AM76" s="714" t="s">
        <v>2796</v>
      </c>
      <c r="AN76" s="712" t="s">
        <v>2868</v>
      </c>
      <c r="AO76" s="716" t="n">
        <f aca="false">AO75+1</f>
        <v>74</v>
      </c>
      <c r="AP76" s="707" t="s">
        <v>3425</v>
      </c>
      <c r="AQ76" s="213" t="n">
        <v>7</v>
      </c>
      <c r="AR76" s="213" t="n">
        <v>2</v>
      </c>
      <c r="AS76" s="213" t="s">
        <v>3421</v>
      </c>
      <c r="AT76" s="213" t="s">
        <v>2718</v>
      </c>
      <c r="AU76" s="213" t="s">
        <v>2755</v>
      </c>
      <c r="AV76" s="212" t="s">
        <v>3426</v>
      </c>
      <c r="AW76" s="213" t="s">
        <v>2721</v>
      </c>
      <c r="AX76" s="710" t="s">
        <v>2985</v>
      </c>
    </row>
    <row r="77" customFormat="false" ht="12.75" hidden="false" customHeight="false" outlineLevel="0" collapsed="false">
      <c r="A77" s="706" t="n">
        <f aca="false">A76+1</f>
        <v>75</v>
      </c>
      <c r="B77" s="707" t="s">
        <v>3427</v>
      </c>
      <c r="C77" s="213" t="n">
        <v>6</v>
      </c>
      <c r="D77" s="213" t="n">
        <v>2</v>
      </c>
      <c r="E77" s="213" t="s">
        <v>3117</v>
      </c>
      <c r="F77" s="213" t="n">
        <v>6</v>
      </c>
      <c r="G77" s="213" t="s">
        <v>2891</v>
      </c>
      <c r="H77" s="212" t="s">
        <v>3250</v>
      </c>
      <c r="I77" s="213" t="s">
        <v>2785</v>
      </c>
      <c r="J77" s="710" t="s">
        <v>2803</v>
      </c>
      <c r="K77" s="706" t="n">
        <f aca="false">K76+1</f>
        <v>75</v>
      </c>
      <c r="L77" s="711" t="s">
        <v>3428</v>
      </c>
      <c r="M77" s="708" t="n">
        <v>6</v>
      </c>
      <c r="N77" s="708" t="n">
        <v>2</v>
      </c>
      <c r="O77" s="708" t="s">
        <v>3429</v>
      </c>
      <c r="P77" s="708" t="s">
        <v>2718</v>
      </c>
      <c r="Q77" s="708" t="s">
        <v>2730</v>
      </c>
      <c r="R77" s="709" t="s">
        <v>3430</v>
      </c>
      <c r="S77" s="708" t="s">
        <v>2732</v>
      </c>
      <c r="T77" s="712" t="s">
        <v>2830</v>
      </c>
      <c r="U77" s="706" t="n">
        <f aca="false">U76+1</f>
        <v>75</v>
      </c>
      <c r="V77" s="713" t="s">
        <v>3431</v>
      </c>
      <c r="W77" s="714" t="n">
        <v>6</v>
      </c>
      <c r="X77" s="714" t="n">
        <v>1</v>
      </c>
      <c r="Y77" s="715" t="s">
        <v>2887</v>
      </c>
      <c r="Z77" s="714" t="s">
        <v>2718</v>
      </c>
      <c r="AA77" s="714" t="s">
        <v>2719</v>
      </c>
      <c r="AB77" s="714" t="s">
        <v>3432</v>
      </c>
      <c r="AC77" s="714" t="s">
        <v>3330</v>
      </c>
      <c r="AD77" s="712" t="s">
        <v>3106</v>
      </c>
      <c r="AE77" s="716" t="n">
        <f aca="false">AE76+1</f>
        <v>75</v>
      </c>
      <c r="AF77" s="720" t="s">
        <v>3433</v>
      </c>
      <c r="AG77" s="714" t="n">
        <v>6</v>
      </c>
      <c r="AH77" s="714" t="n">
        <v>2</v>
      </c>
      <c r="AI77" s="715" t="s">
        <v>3395</v>
      </c>
      <c r="AJ77" s="714" t="n">
        <v>6</v>
      </c>
      <c r="AK77" s="714" t="s">
        <v>2719</v>
      </c>
      <c r="AL77" s="714" t="s">
        <v>2731</v>
      </c>
      <c r="AM77" s="714" t="s">
        <v>3027</v>
      </c>
      <c r="AN77" s="712" t="s">
        <v>2875</v>
      </c>
      <c r="AO77" s="716" t="n">
        <f aca="false">AO76+1</f>
        <v>75</v>
      </c>
      <c r="AP77" s="720" t="s">
        <v>3434</v>
      </c>
      <c r="AQ77" s="714" t="n">
        <v>7</v>
      </c>
      <c r="AR77" s="714" t="n">
        <v>3</v>
      </c>
      <c r="AS77" s="715" t="s">
        <v>3389</v>
      </c>
      <c r="AT77" s="714" t="s">
        <v>2718</v>
      </c>
      <c r="AU77" s="714" t="s">
        <v>2802</v>
      </c>
      <c r="AV77" s="714" t="s">
        <v>3154</v>
      </c>
      <c r="AW77" s="714" t="s">
        <v>3435</v>
      </c>
      <c r="AX77" s="712" t="s">
        <v>2917</v>
      </c>
    </row>
    <row r="78" customFormat="false" ht="12.75" hidden="false" customHeight="false" outlineLevel="0" collapsed="false">
      <c r="A78" s="706" t="n">
        <f aca="false">A77+1</f>
        <v>76</v>
      </c>
      <c r="B78" s="711" t="s">
        <v>3363</v>
      </c>
      <c r="C78" s="708" t="n">
        <v>6</v>
      </c>
      <c r="D78" s="708" t="n">
        <v>1</v>
      </c>
      <c r="E78" s="708" t="s">
        <v>3244</v>
      </c>
      <c r="F78" s="708" t="s">
        <v>2718</v>
      </c>
      <c r="G78" s="708" t="s">
        <v>2719</v>
      </c>
      <c r="H78" s="709" t="s">
        <v>3202</v>
      </c>
      <c r="I78" s="708" t="s">
        <v>3343</v>
      </c>
      <c r="J78" s="712" t="s">
        <v>2942</v>
      </c>
      <c r="K78" s="706" t="n">
        <f aca="false">K77+1</f>
        <v>76</v>
      </c>
      <c r="L78" s="711" t="s">
        <v>3436</v>
      </c>
      <c r="M78" s="708" t="n">
        <v>6</v>
      </c>
      <c r="N78" s="708" t="n">
        <v>3</v>
      </c>
      <c r="O78" s="708" t="s">
        <v>3395</v>
      </c>
      <c r="P78" s="708" t="s">
        <v>2718</v>
      </c>
      <c r="Q78" s="708" t="s">
        <v>2719</v>
      </c>
      <c r="R78" s="709" t="s">
        <v>2731</v>
      </c>
      <c r="S78" s="708" t="s">
        <v>3437</v>
      </c>
      <c r="T78" s="712" t="s">
        <v>3236</v>
      </c>
      <c r="U78" s="706" t="n">
        <f aca="false">U77+1</f>
        <v>76</v>
      </c>
      <c r="V78" s="713" t="s">
        <v>3438</v>
      </c>
      <c r="W78" s="714" t="n">
        <v>6</v>
      </c>
      <c r="X78" s="714" t="n">
        <v>2</v>
      </c>
      <c r="Y78" s="715" t="s">
        <v>3395</v>
      </c>
      <c r="Z78" s="714" t="n">
        <v>6</v>
      </c>
      <c r="AA78" s="714" t="s">
        <v>2794</v>
      </c>
      <c r="AB78" s="714" t="s">
        <v>3439</v>
      </c>
      <c r="AC78" s="714" t="s">
        <v>2751</v>
      </c>
      <c r="AD78" s="712" t="s">
        <v>2885</v>
      </c>
      <c r="AE78" s="716" t="n">
        <f aca="false">AE77+1</f>
        <v>76</v>
      </c>
      <c r="AF78" s="717" t="s">
        <v>3440</v>
      </c>
      <c r="AG78" s="718" t="n">
        <v>7</v>
      </c>
      <c r="AH78" s="718" t="n">
        <v>3</v>
      </c>
      <c r="AI78" s="719" t="s">
        <v>3441</v>
      </c>
      <c r="AJ78" s="718" t="s">
        <v>2718</v>
      </c>
      <c r="AK78" s="718" t="s">
        <v>2736</v>
      </c>
      <c r="AL78" s="718" t="s">
        <v>3442</v>
      </c>
      <c r="AM78" s="718" t="s">
        <v>3027</v>
      </c>
      <c r="AN78" s="710" t="s">
        <v>2727</v>
      </c>
      <c r="AO78" s="716" t="n">
        <f aca="false">AO77+1</f>
        <v>76</v>
      </c>
      <c r="AP78" s="711" t="s">
        <v>3443</v>
      </c>
      <c r="AQ78" s="708" t="n">
        <v>7</v>
      </c>
      <c r="AR78" s="708" t="n">
        <v>4</v>
      </c>
      <c r="AS78" s="708" t="s">
        <v>3228</v>
      </c>
      <c r="AT78" s="708" t="s">
        <v>2845</v>
      </c>
      <c r="AU78" s="708" t="s">
        <v>2755</v>
      </c>
      <c r="AV78" s="709" t="s">
        <v>3444</v>
      </c>
      <c r="AW78" s="708" t="s">
        <v>2982</v>
      </c>
      <c r="AX78" s="712" t="s">
        <v>3140</v>
      </c>
    </row>
    <row r="79" customFormat="false" ht="12.75" hidden="false" customHeight="false" outlineLevel="0" collapsed="false">
      <c r="A79" s="706" t="n">
        <f aca="false">A78+1</f>
        <v>77</v>
      </c>
      <c r="B79" s="711" t="s">
        <v>3445</v>
      </c>
      <c r="C79" s="708" t="n">
        <v>6</v>
      </c>
      <c r="D79" s="708" t="n">
        <v>2</v>
      </c>
      <c r="E79" s="708" t="s">
        <v>3395</v>
      </c>
      <c r="F79" s="708" t="s">
        <v>2718</v>
      </c>
      <c r="G79" s="708" t="s">
        <v>2719</v>
      </c>
      <c r="H79" s="709" t="s">
        <v>262</v>
      </c>
      <c r="I79" s="708" t="s">
        <v>2757</v>
      </c>
      <c r="J79" s="712" t="s">
        <v>2815</v>
      </c>
      <c r="K79" s="706" t="n">
        <f aca="false">K78+1</f>
        <v>77</v>
      </c>
      <c r="L79" s="711" t="s">
        <v>3446</v>
      </c>
      <c r="M79" s="708" t="n">
        <v>6</v>
      </c>
      <c r="N79" s="708" t="n">
        <v>2</v>
      </c>
      <c r="O79" s="708" t="s">
        <v>3217</v>
      </c>
      <c r="P79" s="708" t="s">
        <v>2754</v>
      </c>
      <c r="Q79" s="708" t="s">
        <v>2891</v>
      </c>
      <c r="R79" s="709" t="s">
        <v>3447</v>
      </c>
      <c r="S79" s="708" t="s">
        <v>2821</v>
      </c>
      <c r="T79" s="712" t="s">
        <v>3208</v>
      </c>
      <c r="U79" s="706" t="n">
        <f aca="false">U78+1</f>
        <v>77</v>
      </c>
      <c r="V79" s="721" t="s">
        <v>3448</v>
      </c>
      <c r="W79" s="718" t="n">
        <v>7</v>
      </c>
      <c r="X79" s="718" t="n">
        <v>3</v>
      </c>
      <c r="Y79" s="719" t="s">
        <v>3441</v>
      </c>
      <c r="Z79" s="718" t="s">
        <v>2718</v>
      </c>
      <c r="AA79" s="718" t="s">
        <v>2856</v>
      </c>
      <c r="AB79" s="718" t="s">
        <v>3449</v>
      </c>
      <c r="AC79" s="718" t="s">
        <v>2732</v>
      </c>
      <c r="AD79" s="710" t="s">
        <v>2727</v>
      </c>
      <c r="AE79" s="716" t="n">
        <f aca="false">AE78+1</f>
        <v>77</v>
      </c>
      <c r="AF79" s="720" t="s">
        <v>3434</v>
      </c>
      <c r="AG79" s="714" t="n">
        <v>7</v>
      </c>
      <c r="AH79" s="714" t="n">
        <v>3</v>
      </c>
      <c r="AI79" s="715" t="s">
        <v>3389</v>
      </c>
      <c r="AJ79" s="714" t="s">
        <v>2718</v>
      </c>
      <c r="AK79" s="714" t="s">
        <v>2802</v>
      </c>
      <c r="AL79" s="714" t="s">
        <v>3154</v>
      </c>
      <c r="AM79" s="714" t="s">
        <v>3435</v>
      </c>
      <c r="AN79" s="712" t="s">
        <v>2917</v>
      </c>
      <c r="AO79" s="716" t="n">
        <f aca="false">AO78+1</f>
        <v>77</v>
      </c>
      <c r="AP79" s="711" t="s">
        <v>3450</v>
      </c>
      <c r="AQ79" s="708" t="n">
        <v>7</v>
      </c>
      <c r="AR79" s="708" t="n">
        <v>3</v>
      </c>
      <c r="AS79" s="708" t="s">
        <v>3356</v>
      </c>
      <c r="AT79" s="708" t="s">
        <v>3451</v>
      </c>
      <c r="AU79" s="708" t="s">
        <v>3452</v>
      </c>
      <c r="AV79" s="709" t="s">
        <v>2759</v>
      </c>
      <c r="AW79" s="708" t="s">
        <v>2982</v>
      </c>
      <c r="AX79" s="712" t="s">
        <v>2922</v>
      </c>
    </row>
    <row r="80" customFormat="false" ht="12.75" hidden="false" customHeight="false" outlineLevel="0" collapsed="false">
      <c r="A80" s="706" t="n">
        <f aca="false">A79+1</f>
        <v>78</v>
      </c>
      <c r="B80" s="711" t="s">
        <v>3453</v>
      </c>
      <c r="C80" s="708" t="n">
        <v>6</v>
      </c>
      <c r="D80" s="708" t="n">
        <v>4</v>
      </c>
      <c r="E80" s="708" t="s">
        <v>3130</v>
      </c>
      <c r="F80" s="708" t="s">
        <v>2754</v>
      </c>
      <c r="G80" s="708" t="s">
        <v>2891</v>
      </c>
      <c r="H80" s="709" t="s">
        <v>2759</v>
      </c>
      <c r="I80" s="708" t="s">
        <v>2982</v>
      </c>
      <c r="J80" s="712" t="s">
        <v>2815</v>
      </c>
      <c r="K80" s="706" t="n">
        <f aca="false">K79+1</f>
        <v>78</v>
      </c>
      <c r="L80" s="711" t="s">
        <v>3406</v>
      </c>
      <c r="M80" s="708" t="n">
        <v>6</v>
      </c>
      <c r="N80" s="708" t="n">
        <v>3</v>
      </c>
      <c r="O80" s="708" t="s">
        <v>3346</v>
      </c>
      <c r="P80" s="708" t="s">
        <v>2718</v>
      </c>
      <c r="Q80" s="708" t="s">
        <v>2856</v>
      </c>
      <c r="R80" s="709" t="s">
        <v>3064</v>
      </c>
      <c r="S80" s="708" t="s">
        <v>2751</v>
      </c>
      <c r="T80" s="712" t="s">
        <v>3024</v>
      </c>
      <c r="U80" s="706" t="n">
        <f aca="false">U79+1</f>
        <v>78</v>
      </c>
      <c r="V80" s="713" t="s">
        <v>3454</v>
      </c>
      <c r="W80" s="714" t="n">
        <v>7</v>
      </c>
      <c r="X80" s="714" t="n">
        <v>2</v>
      </c>
      <c r="Y80" s="715" t="s">
        <v>3233</v>
      </c>
      <c r="Z80" s="714" t="s">
        <v>2754</v>
      </c>
      <c r="AA80" s="714" t="s">
        <v>2749</v>
      </c>
      <c r="AB80" s="714" t="s">
        <v>3202</v>
      </c>
      <c r="AC80" s="714" t="s">
        <v>2751</v>
      </c>
      <c r="AD80" s="712" t="s">
        <v>3246</v>
      </c>
      <c r="AE80" s="716" t="n">
        <f aca="false">AE79+1</f>
        <v>78</v>
      </c>
      <c r="AF80" s="720" t="s">
        <v>3455</v>
      </c>
      <c r="AG80" s="714" t="n">
        <v>7</v>
      </c>
      <c r="AH80" s="714" t="n">
        <v>2</v>
      </c>
      <c r="AI80" s="715" t="s">
        <v>3130</v>
      </c>
      <c r="AJ80" s="714" t="s">
        <v>2718</v>
      </c>
      <c r="AK80" s="714" t="s">
        <v>3078</v>
      </c>
      <c r="AL80" s="714" t="s">
        <v>3456</v>
      </c>
      <c r="AM80" s="714" t="s">
        <v>2732</v>
      </c>
      <c r="AN80" s="712" t="s">
        <v>3140</v>
      </c>
      <c r="AO80" s="716" t="n">
        <f aca="false">AO79+1</f>
        <v>78</v>
      </c>
      <c r="AP80" s="711" t="s">
        <v>3457</v>
      </c>
      <c r="AQ80" s="708" t="n">
        <v>7</v>
      </c>
      <c r="AR80" s="708" t="n">
        <v>1</v>
      </c>
      <c r="AS80" s="708" t="s">
        <v>3458</v>
      </c>
      <c r="AT80" s="708" t="s">
        <v>2754</v>
      </c>
      <c r="AU80" s="708" t="s">
        <v>2755</v>
      </c>
      <c r="AV80" s="709" t="s">
        <v>3459</v>
      </c>
      <c r="AW80" s="708" t="s">
        <v>2726</v>
      </c>
      <c r="AX80" s="712" t="s">
        <v>2773</v>
      </c>
    </row>
    <row r="81" customFormat="false" ht="12.75" hidden="false" customHeight="false" outlineLevel="0" collapsed="false">
      <c r="A81" s="706" t="n">
        <f aca="false">A80+1</f>
        <v>79</v>
      </c>
      <c r="B81" s="711" t="s">
        <v>3378</v>
      </c>
      <c r="C81" s="708" t="n">
        <v>6</v>
      </c>
      <c r="D81" s="708" t="n">
        <v>2</v>
      </c>
      <c r="E81" s="708" t="s">
        <v>3346</v>
      </c>
      <c r="F81" s="708" t="n">
        <v>6</v>
      </c>
      <c r="G81" s="708" t="s">
        <v>2719</v>
      </c>
      <c r="H81" s="709" t="s">
        <v>3379</v>
      </c>
      <c r="I81" s="708" t="s">
        <v>2785</v>
      </c>
      <c r="J81" s="712" t="s">
        <v>3282</v>
      </c>
      <c r="K81" s="706" t="n">
        <f aca="false">K80+1</f>
        <v>79</v>
      </c>
      <c r="L81" s="707" t="s">
        <v>3460</v>
      </c>
      <c r="M81" s="213" t="n">
        <v>7</v>
      </c>
      <c r="N81" s="213" t="s">
        <v>2908</v>
      </c>
      <c r="O81" s="213" t="s">
        <v>3441</v>
      </c>
      <c r="P81" s="213" t="s">
        <v>2718</v>
      </c>
      <c r="Q81" s="213" t="s">
        <v>3452</v>
      </c>
      <c r="R81" s="212" t="s">
        <v>2858</v>
      </c>
      <c r="S81" s="213" t="s">
        <v>2764</v>
      </c>
      <c r="T81" s="710" t="s">
        <v>2803</v>
      </c>
      <c r="U81" s="706" t="n">
        <f aca="false">U80+1</f>
        <v>79</v>
      </c>
      <c r="V81" s="713" t="s">
        <v>3461</v>
      </c>
      <c r="W81" s="714" t="n">
        <v>7</v>
      </c>
      <c r="X81" s="714" t="n">
        <v>3</v>
      </c>
      <c r="Y81" s="715" t="s">
        <v>3130</v>
      </c>
      <c r="Z81" s="714" t="s">
        <v>2718</v>
      </c>
      <c r="AA81" s="714" t="s">
        <v>2719</v>
      </c>
      <c r="AB81" s="714" t="s">
        <v>3462</v>
      </c>
      <c r="AC81" s="714" t="s">
        <v>3080</v>
      </c>
      <c r="AD81" s="712" t="s">
        <v>2985</v>
      </c>
      <c r="AE81" s="716" t="n">
        <f aca="false">AE80+1</f>
        <v>79</v>
      </c>
      <c r="AF81" s="720" t="s">
        <v>3463</v>
      </c>
      <c r="AG81" s="714" t="n">
        <v>7</v>
      </c>
      <c r="AH81" s="714" t="n">
        <v>1</v>
      </c>
      <c r="AI81" s="715" t="s">
        <v>3138</v>
      </c>
      <c r="AJ81" s="714" t="s">
        <v>2718</v>
      </c>
      <c r="AK81" s="714" t="s">
        <v>2802</v>
      </c>
      <c r="AL81" s="714" t="s">
        <v>2967</v>
      </c>
      <c r="AM81" s="714" t="s">
        <v>2732</v>
      </c>
      <c r="AN81" s="712" t="s">
        <v>2786</v>
      </c>
      <c r="AO81" s="716" t="n">
        <f aca="false">AO80+1</f>
        <v>79</v>
      </c>
      <c r="AP81" s="711" t="s">
        <v>3460</v>
      </c>
      <c r="AQ81" s="727" t="n">
        <v>7</v>
      </c>
      <c r="AR81" s="727" t="s">
        <v>2908</v>
      </c>
      <c r="AS81" s="727" t="s">
        <v>3441</v>
      </c>
      <c r="AT81" s="727" t="s">
        <v>2718</v>
      </c>
      <c r="AU81" s="727" t="s">
        <v>3452</v>
      </c>
      <c r="AV81" s="158" t="s">
        <v>2858</v>
      </c>
      <c r="AW81" s="727" t="s">
        <v>2764</v>
      </c>
      <c r="AX81" s="712" t="s">
        <v>2803</v>
      </c>
    </row>
    <row r="82" customFormat="false" ht="12.75" hidden="false" customHeight="false" outlineLevel="0" collapsed="false">
      <c r="A82" s="706" t="n">
        <f aca="false">A81+1</f>
        <v>80</v>
      </c>
      <c r="B82" s="711" t="s">
        <v>3464</v>
      </c>
      <c r="C82" s="708" t="n">
        <v>6</v>
      </c>
      <c r="D82" s="708" t="s">
        <v>2572</v>
      </c>
      <c r="E82" s="708" t="s">
        <v>3395</v>
      </c>
      <c r="F82" s="708" t="s">
        <v>2754</v>
      </c>
      <c r="G82" s="708" t="s">
        <v>2736</v>
      </c>
      <c r="H82" s="709" t="s">
        <v>3287</v>
      </c>
      <c r="I82" s="708" t="s">
        <v>2777</v>
      </c>
      <c r="J82" s="712" t="s">
        <v>2873</v>
      </c>
      <c r="K82" s="706" t="n">
        <f aca="false">K81+1</f>
        <v>80</v>
      </c>
      <c r="L82" s="711" t="s">
        <v>3465</v>
      </c>
      <c r="M82" s="708" t="n">
        <v>7</v>
      </c>
      <c r="N82" s="708" t="n">
        <v>4</v>
      </c>
      <c r="O82" s="708" t="s">
        <v>3138</v>
      </c>
      <c r="P82" s="708" t="s">
        <v>2718</v>
      </c>
      <c r="Q82" s="708" t="s">
        <v>2719</v>
      </c>
      <c r="R82" s="709" t="s">
        <v>3466</v>
      </c>
      <c r="S82" s="708" t="s">
        <v>3467</v>
      </c>
      <c r="T82" s="712" t="s">
        <v>2760</v>
      </c>
      <c r="U82" s="706" t="n">
        <f aca="false">U81+1</f>
        <v>80</v>
      </c>
      <c r="V82" s="713" t="s">
        <v>3468</v>
      </c>
      <c r="W82" s="714" t="n">
        <v>7</v>
      </c>
      <c r="X82" s="714" t="n">
        <v>3</v>
      </c>
      <c r="Y82" s="715" t="s">
        <v>3356</v>
      </c>
      <c r="Z82" s="714" t="s">
        <v>2718</v>
      </c>
      <c r="AA82" s="714" t="s">
        <v>2794</v>
      </c>
      <c r="AB82" s="714" t="s">
        <v>3469</v>
      </c>
      <c r="AC82" s="714" t="s">
        <v>2931</v>
      </c>
      <c r="AD82" s="712" t="s">
        <v>2752</v>
      </c>
      <c r="AE82" s="716" t="n">
        <f aca="false">AE81+1</f>
        <v>80</v>
      </c>
      <c r="AF82" s="720" t="s">
        <v>3470</v>
      </c>
      <c r="AG82" s="714" t="n">
        <v>7</v>
      </c>
      <c r="AH82" s="714" t="n">
        <v>1</v>
      </c>
      <c r="AI82" s="715" t="s">
        <v>3405</v>
      </c>
      <c r="AJ82" s="714" t="s">
        <v>2718</v>
      </c>
      <c r="AK82" s="714" t="s">
        <v>2802</v>
      </c>
      <c r="AL82" s="714" t="s">
        <v>3202</v>
      </c>
      <c r="AM82" s="714" t="s">
        <v>2732</v>
      </c>
      <c r="AN82" s="712" t="s">
        <v>2789</v>
      </c>
      <c r="AO82" s="716" t="n">
        <f aca="false">AO81+1</f>
        <v>80</v>
      </c>
      <c r="AP82" s="711" t="s">
        <v>3471</v>
      </c>
      <c r="AQ82" s="708" t="n">
        <v>7</v>
      </c>
      <c r="AR82" s="708" t="n">
        <v>4</v>
      </c>
      <c r="AS82" s="708" t="s">
        <v>3472</v>
      </c>
      <c r="AT82" s="708" t="s">
        <v>2718</v>
      </c>
      <c r="AU82" s="708" t="s">
        <v>2755</v>
      </c>
      <c r="AV82" s="709" t="s">
        <v>3473</v>
      </c>
      <c r="AW82" s="708" t="s">
        <v>2737</v>
      </c>
      <c r="AX82" s="712" t="s">
        <v>2760</v>
      </c>
    </row>
    <row r="83" customFormat="false" ht="12.75" hidden="false" customHeight="false" outlineLevel="0" collapsed="false">
      <c r="A83" s="706" t="n">
        <f aca="false">A82+1</f>
        <v>81</v>
      </c>
      <c r="B83" s="711" t="s">
        <v>3474</v>
      </c>
      <c r="C83" s="708" t="n">
        <v>6</v>
      </c>
      <c r="D83" s="708" t="n">
        <v>2</v>
      </c>
      <c r="E83" s="708" t="s">
        <v>3475</v>
      </c>
      <c r="F83" s="708" t="s">
        <v>2718</v>
      </c>
      <c r="G83" s="708" t="s">
        <v>2776</v>
      </c>
      <c r="H83" s="709" t="s">
        <v>2750</v>
      </c>
      <c r="I83" s="708" t="s">
        <v>3071</v>
      </c>
      <c r="J83" s="712" t="s">
        <v>3037</v>
      </c>
      <c r="K83" s="706" t="n">
        <f aca="false">K82+1</f>
        <v>81</v>
      </c>
      <c r="L83" s="711" t="s">
        <v>3476</v>
      </c>
      <c r="M83" s="708" t="n">
        <v>7</v>
      </c>
      <c r="N83" s="708" t="n">
        <v>5</v>
      </c>
      <c r="O83" s="708" t="s">
        <v>3205</v>
      </c>
      <c r="P83" s="708" t="s">
        <v>3400</v>
      </c>
      <c r="Q83" s="708" t="s">
        <v>2719</v>
      </c>
      <c r="R83" s="709" t="s">
        <v>3477</v>
      </c>
      <c r="S83" s="708" t="s">
        <v>3478</v>
      </c>
      <c r="T83" s="712" t="s">
        <v>2824</v>
      </c>
      <c r="U83" s="706" t="n">
        <f aca="false">U82+1</f>
        <v>81</v>
      </c>
      <c r="V83" s="713" t="s">
        <v>3479</v>
      </c>
      <c r="W83" s="714" t="n">
        <v>7</v>
      </c>
      <c r="X83" s="714" t="s">
        <v>3480</v>
      </c>
      <c r="Y83" s="715" t="s">
        <v>3063</v>
      </c>
      <c r="Z83" s="714" t="n">
        <v>8</v>
      </c>
      <c r="AA83" s="714" t="s">
        <v>2719</v>
      </c>
      <c r="AB83" s="714" t="s">
        <v>3481</v>
      </c>
      <c r="AC83" s="714" t="s">
        <v>3482</v>
      </c>
      <c r="AD83" s="712" t="s">
        <v>2922</v>
      </c>
      <c r="AE83" s="716" t="n">
        <f aca="false">AE82+1</f>
        <v>81</v>
      </c>
      <c r="AF83" s="720" t="s">
        <v>3483</v>
      </c>
      <c r="AG83" s="714" t="n">
        <v>7</v>
      </c>
      <c r="AH83" s="714" t="n">
        <v>4</v>
      </c>
      <c r="AI83" s="715" t="s">
        <v>3391</v>
      </c>
      <c r="AJ83" s="714" t="s">
        <v>2754</v>
      </c>
      <c r="AK83" s="714" t="s">
        <v>2730</v>
      </c>
      <c r="AL83" s="714" t="s">
        <v>3202</v>
      </c>
      <c r="AM83" s="714" t="s">
        <v>2854</v>
      </c>
      <c r="AN83" s="712" t="s">
        <v>3097</v>
      </c>
      <c r="AO83" s="716" t="n">
        <f aca="false">AO82+1</f>
        <v>81</v>
      </c>
      <c r="AP83" s="720" t="s">
        <v>3483</v>
      </c>
      <c r="AQ83" s="714" t="n">
        <v>7</v>
      </c>
      <c r="AR83" s="714" t="n">
        <v>4</v>
      </c>
      <c r="AS83" s="715" t="s">
        <v>3391</v>
      </c>
      <c r="AT83" s="714" t="s">
        <v>2754</v>
      </c>
      <c r="AU83" s="714" t="s">
        <v>2730</v>
      </c>
      <c r="AV83" s="714" t="s">
        <v>3202</v>
      </c>
      <c r="AW83" s="714" t="s">
        <v>2854</v>
      </c>
      <c r="AX83" s="712" t="s">
        <v>3097</v>
      </c>
    </row>
    <row r="84" customFormat="false" ht="12.75" hidden="false" customHeight="false" outlineLevel="0" collapsed="false">
      <c r="A84" s="706" t="n">
        <f aca="false">A83+1</f>
        <v>82</v>
      </c>
      <c r="B84" s="711" t="s">
        <v>3412</v>
      </c>
      <c r="C84" s="708" t="n">
        <v>6</v>
      </c>
      <c r="D84" s="708" t="n">
        <v>3</v>
      </c>
      <c r="E84" s="708" t="s">
        <v>3244</v>
      </c>
      <c r="F84" s="708" t="n">
        <v>6</v>
      </c>
      <c r="G84" s="708" t="s">
        <v>2891</v>
      </c>
      <c r="H84" s="709" t="s">
        <v>3413</v>
      </c>
      <c r="I84" s="708" t="s">
        <v>2982</v>
      </c>
      <c r="J84" s="712" t="s">
        <v>2879</v>
      </c>
      <c r="K84" s="706" t="n">
        <f aca="false">K83+1</f>
        <v>82</v>
      </c>
      <c r="L84" s="711" t="s">
        <v>3484</v>
      </c>
      <c r="M84" s="708" t="n">
        <v>7</v>
      </c>
      <c r="N84" s="708" t="n">
        <v>1</v>
      </c>
      <c r="O84" s="708" t="s">
        <v>3472</v>
      </c>
      <c r="P84" s="708" t="s">
        <v>2718</v>
      </c>
      <c r="Q84" s="708" t="s">
        <v>2802</v>
      </c>
      <c r="R84" s="709" t="s">
        <v>2750</v>
      </c>
      <c r="S84" s="708" t="s">
        <v>2796</v>
      </c>
      <c r="T84" s="712" t="s">
        <v>2864</v>
      </c>
      <c r="U84" s="706" t="n">
        <f aca="false">U83+1</f>
        <v>82</v>
      </c>
      <c r="V84" s="713" t="s">
        <v>3485</v>
      </c>
      <c r="W84" s="714" t="n">
        <v>7</v>
      </c>
      <c r="X84" s="714" t="n">
        <v>0</v>
      </c>
      <c r="Y84" s="715" t="s">
        <v>3486</v>
      </c>
      <c r="Z84" s="714" t="s">
        <v>2718</v>
      </c>
      <c r="AA84" s="714" t="s">
        <v>2749</v>
      </c>
      <c r="AB84" s="714" t="s">
        <v>2731</v>
      </c>
      <c r="AC84" s="714" t="s">
        <v>2751</v>
      </c>
      <c r="AD84" s="712" t="s">
        <v>2786</v>
      </c>
      <c r="AE84" s="716" t="n">
        <f aca="false">AE83+1</f>
        <v>82</v>
      </c>
      <c r="AF84" s="720" t="s">
        <v>3487</v>
      </c>
      <c r="AG84" s="714" t="n">
        <v>7</v>
      </c>
      <c r="AH84" s="714" t="n">
        <v>3</v>
      </c>
      <c r="AI84" s="715" t="s">
        <v>3441</v>
      </c>
      <c r="AJ84" s="714" t="s">
        <v>2718</v>
      </c>
      <c r="AK84" s="714" t="s">
        <v>2856</v>
      </c>
      <c r="AL84" s="714" t="s">
        <v>3488</v>
      </c>
      <c r="AM84" s="714" t="s">
        <v>3001</v>
      </c>
      <c r="AN84" s="712" t="s">
        <v>3097</v>
      </c>
      <c r="AO84" s="716" t="n">
        <f aca="false">AO83+1</f>
        <v>82</v>
      </c>
      <c r="AP84" s="711" t="s">
        <v>3484</v>
      </c>
      <c r="AQ84" s="708" t="n">
        <v>7</v>
      </c>
      <c r="AR84" s="708" t="n">
        <v>1</v>
      </c>
      <c r="AS84" s="708" t="s">
        <v>3472</v>
      </c>
      <c r="AT84" s="708" t="s">
        <v>2718</v>
      </c>
      <c r="AU84" s="708" t="s">
        <v>2802</v>
      </c>
      <c r="AV84" s="709" t="s">
        <v>2750</v>
      </c>
      <c r="AW84" s="708" t="s">
        <v>2796</v>
      </c>
      <c r="AX84" s="712" t="s">
        <v>2864</v>
      </c>
    </row>
    <row r="85" customFormat="false" ht="12.75" hidden="false" customHeight="false" outlineLevel="0" collapsed="false">
      <c r="A85" s="706" t="n">
        <f aca="false">A84+1</f>
        <v>83</v>
      </c>
      <c r="B85" s="711" t="s">
        <v>3420</v>
      </c>
      <c r="C85" s="708" t="n">
        <v>6</v>
      </c>
      <c r="D85" s="708" t="n">
        <v>3</v>
      </c>
      <c r="E85" s="708" t="s">
        <v>3421</v>
      </c>
      <c r="F85" s="708" t="s">
        <v>2718</v>
      </c>
      <c r="G85" s="708" t="s">
        <v>2755</v>
      </c>
      <c r="H85" s="709" t="s">
        <v>3422</v>
      </c>
      <c r="I85" s="708" t="s">
        <v>3343</v>
      </c>
      <c r="J85" s="712" t="s">
        <v>2879</v>
      </c>
      <c r="K85" s="706" t="n">
        <f aca="false">K84+1</f>
        <v>83</v>
      </c>
      <c r="L85" s="711" t="s">
        <v>3489</v>
      </c>
      <c r="M85" s="708" t="n">
        <v>7</v>
      </c>
      <c r="N85" s="708" t="n">
        <v>2</v>
      </c>
      <c r="O85" s="708" t="s">
        <v>3138</v>
      </c>
      <c r="P85" s="708" t="s">
        <v>2718</v>
      </c>
      <c r="Q85" s="708" t="s">
        <v>2736</v>
      </c>
      <c r="R85" s="709" t="s">
        <v>2858</v>
      </c>
      <c r="S85" s="708" t="s">
        <v>2751</v>
      </c>
      <c r="T85" s="712" t="s">
        <v>2873</v>
      </c>
      <c r="U85" s="706" t="n">
        <f aca="false">U84+1</f>
        <v>83</v>
      </c>
      <c r="V85" s="713" t="s">
        <v>3490</v>
      </c>
      <c r="W85" s="714" t="n">
        <v>7</v>
      </c>
      <c r="X85" s="714" t="n">
        <v>2</v>
      </c>
      <c r="Y85" s="715" t="s">
        <v>3138</v>
      </c>
      <c r="Z85" s="714" t="s">
        <v>2754</v>
      </c>
      <c r="AA85" s="714" t="s">
        <v>2755</v>
      </c>
      <c r="AB85" s="714" t="s">
        <v>3491</v>
      </c>
      <c r="AC85" s="714" t="s">
        <v>3492</v>
      </c>
      <c r="AD85" s="712" t="s">
        <v>2773</v>
      </c>
      <c r="AE85" s="716" t="n">
        <f aca="false">AE84+1</f>
        <v>83</v>
      </c>
      <c r="AF85" s="720" t="s">
        <v>3493</v>
      </c>
      <c r="AG85" s="714" t="n">
        <v>7</v>
      </c>
      <c r="AH85" s="714" t="n">
        <v>0</v>
      </c>
      <c r="AI85" s="715" t="s">
        <v>3494</v>
      </c>
      <c r="AJ85" s="714" t="s">
        <v>2718</v>
      </c>
      <c r="AK85" s="714" t="s">
        <v>2730</v>
      </c>
      <c r="AL85" s="714" t="s">
        <v>2750</v>
      </c>
      <c r="AM85" s="714" t="s">
        <v>2829</v>
      </c>
      <c r="AN85" s="712" t="s">
        <v>3200</v>
      </c>
      <c r="AO85" s="716" t="n">
        <f aca="false">AO84+1</f>
        <v>83</v>
      </c>
      <c r="AP85" s="713" t="s">
        <v>3495</v>
      </c>
      <c r="AQ85" s="714" t="n">
        <v>7</v>
      </c>
      <c r="AR85" s="714" t="n">
        <v>3</v>
      </c>
      <c r="AS85" s="715" t="s">
        <v>3441</v>
      </c>
      <c r="AT85" s="714" t="s">
        <v>2960</v>
      </c>
      <c r="AU85" s="714" t="s">
        <v>2719</v>
      </c>
      <c r="AV85" s="714" t="s">
        <v>2750</v>
      </c>
      <c r="AW85" s="714" t="s">
        <v>2721</v>
      </c>
      <c r="AX85" s="712" t="s">
        <v>3024</v>
      </c>
    </row>
    <row r="86" customFormat="false" ht="12.75" hidden="false" customHeight="false" outlineLevel="0" collapsed="false">
      <c r="A86" s="706" t="n">
        <f aca="false">A85+1</f>
        <v>84</v>
      </c>
      <c r="B86" s="707" t="s">
        <v>3425</v>
      </c>
      <c r="C86" s="213" t="n">
        <v>7</v>
      </c>
      <c r="D86" s="213" t="n">
        <v>2</v>
      </c>
      <c r="E86" s="213" t="s">
        <v>3421</v>
      </c>
      <c r="F86" s="213" t="s">
        <v>2718</v>
      </c>
      <c r="G86" s="213" t="s">
        <v>2755</v>
      </c>
      <c r="H86" s="212" t="s">
        <v>3426</v>
      </c>
      <c r="I86" s="213" t="s">
        <v>2721</v>
      </c>
      <c r="J86" s="710" t="s">
        <v>2985</v>
      </c>
      <c r="K86" s="706" t="n">
        <f aca="false">K85+1</f>
        <v>84</v>
      </c>
      <c r="L86" s="711" t="s">
        <v>3496</v>
      </c>
      <c r="M86" s="708" t="n">
        <v>7</v>
      </c>
      <c r="N86" s="708" t="n">
        <v>6</v>
      </c>
      <c r="O86" s="708" t="s">
        <v>3217</v>
      </c>
      <c r="P86" s="708" t="s">
        <v>2718</v>
      </c>
      <c r="Q86" s="708" t="s">
        <v>2719</v>
      </c>
      <c r="R86" s="709" t="s">
        <v>3497</v>
      </c>
      <c r="S86" s="708" t="s">
        <v>2941</v>
      </c>
      <c r="T86" s="712" t="s">
        <v>2868</v>
      </c>
      <c r="U86" s="706" t="n">
        <f aca="false">U85+1</f>
        <v>84</v>
      </c>
      <c r="V86" s="713" t="s">
        <v>3498</v>
      </c>
      <c r="W86" s="714" t="n">
        <v>7</v>
      </c>
      <c r="X86" s="714" t="n">
        <v>3</v>
      </c>
      <c r="Y86" s="715" t="s">
        <v>3138</v>
      </c>
      <c r="Z86" s="714" t="s">
        <v>2718</v>
      </c>
      <c r="AA86" s="714" t="s">
        <v>3149</v>
      </c>
      <c r="AB86" s="714" t="s">
        <v>3499</v>
      </c>
      <c r="AC86" s="714" t="s">
        <v>2836</v>
      </c>
      <c r="AD86" s="712" t="s">
        <v>3236</v>
      </c>
      <c r="AE86" s="716" t="n">
        <f aca="false">AE85+1</f>
        <v>84</v>
      </c>
      <c r="AF86" s="720" t="s">
        <v>3500</v>
      </c>
      <c r="AG86" s="714" t="n">
        <v>7</v>
      </c>
      <c r="AH86" s="714" t="n">
        <v>3</v>
      </c>
      <c r="AI86" s="715" t="s">
        <v>3138</v>
      </c>
      <c r="AJ86" s="714" t="s">
        <v>2718</v>
      </c>
      <c r="AK86" s="714" t="s">
        <v>2856</v>
      </c>
      <c r="AL86" s="714" t="s">
        <v>2858</v>
      </c>
      <c r="AM86" s="714" t="s">
        <v>3501</v>
      </c>
      <c r="AN86" s="712" t="s">
        <v>3200</v>
      </c>
      <c r="AO86" s="716" t="n">
        <f aca="false">AO85+1</f>
        <v>84</v>
      </c>
      <c r="AP86" s="711" t="s">
        <v>3502</v>
      </c>
      <c r="AQ86" s="708" t="n">
        <v>7</v>
      </c>
      <c r="AR86" s="708" t="n">
        <v>1</v>
      </c>
      <c r="AS86" s="708" t="s">
        <v>3233</v>
      </c>
      <c r="AT86" s="708" t="s">
        <v>2718</v>
      </c>
      <c r="AU86" s="708" t="s">
        <v>2719</v>
      </c>
      <c r="AV86" s="709" t="s">
        <v>3503</v>
      </c>
      <c r="AW86" s="708" t="s">
        <v>2931</v>
      </c>
      <c r="AX86" s="712" t="s">
        <v>2962</v>
      </c>
    </row>
    <row r="87" customFormat="false" ht="12.75" hidden="false" customHeight="false" outlineLevel="0" collapsed="false">
      <c r="A87" s="706" t="n">
        <f aca="false">A86+1</f>
        <v>85</v>
      </c>
      <c r="B87" s="711" t="s">
        <v>3443</v>
      </c>
      <c r="C87" s="708" t="n">
        <v>7</v>
      </c>
      <c r="D87" s="708" t="n">
        <v>4</v>
      </c>
      <c r="E87" s="708" t="s">
        <v>3228</v>
      </c>
      <c r="F87" s="708" t="s">
        <v>2845</v>
      </c>
      <c r="G87" s="708" t="s">
        <v>2755</v>
      </c>
      <c r="H87" s="709" t="s">
        <v>3444</v>
      </c>
      <c r="I87" s="708" t="s">
        <v>2982</v>
      </c>
      <c r="J87" s="712" t="s">
        <v>3140</v>
      </c>
      <c r="K87" s="706" t="n">
        <f aca="false">K86+1</f>
        <v>85</v>
      </c>
      <c r="L87" s="711" t="s">
        <v>3504</v>
      </c>
      <c r="M87" s="708" t="n">
        <v>7</v>
      </c>
      <c r="N87" s="708" t="n">
        <v>4</v>
      </c>
      <c r="O87" s="708" t="s">
        <v>3389</v>
      </c>
      <c r="P87" s="708" t="s">
        <v>2718</v>
      </c>
      <c r="Q87" s="708" t="s">
        <v>2730</v>
      </c>
      <c r="R87" s="709" t="s">
        <v>3505</v>
      </c>
      <c r="S87" s="708" t="s">
        <v>3365</v>
      </c>
      <c r="T87" s="712" t="s">
        <v>3024</v>
      </c>
      <c r="U87" s="706" t="n">
        <f aca="false">U86+1</f>
        <v>85</v>
      </c>
      <c r="V87" s="713" t="s">
        <v>3506</v>
      </c>
      <c r="W87" s="714" t="n">
        <v>7</v>
      </c>
      <c r="X87" s="714" t="n">
        <v>2</v>
      </c>
      <c r="Y87" s="715" t="s">
        <v>3507</v>
      </c>
      <c r="Z87" s="714" t="s">
        <v>2718</v>
      </c>
      <c r="AA87" s="714" t="s">
        <v>2749</v>
      </c>
      <c r="AB87" s="714" t="s">
        <v>3287</v>
      </c>
      <c r="AC87" s="714" t="s">
        <v>2785</v>
      </c>
      <c r="AD87" s="712" t="s">
        <v>2871</v>
      </c>
      <c r="AE87" s="716" t="n">
        <f aca="false">AE86+1</f>
        <v>85</v>
      </c>
      <c r="AF87" s="720" t="s">
        <v>3508</v>
      </c>
      <c r="AG87" s="714" t="n">
        <v>7</v>
      </c>
      <c r="AH87" s="714" t="n">
        <v>3</v>
      </c>
      <c r="AI87" s="715" t="s">
        <v>3117</v>
      </c>
      <c r="AJ87" s="714" t="s">
        <v>2718</v>
      </c>
      <c r="AK87" s="714" t="s">
        <v>2891</v>
      </c>
      <c r="AL87" s="714" t="s">
        <v>3509</v>
      </c>
      <c r="AM87" s="714" t="s">
        <v>2992</v>
      </c>
      <c r="AN87" s="712" t="s">
        <v>3106</v>
      </c>
      <c r="AO87" s="716" t="n">
        <f aca="false">AO86+1</f>
        <v>85</v>
      </c>
      <c r="AP87" s="722" t="s">
        <v>2514</v>
      </c>
      <c r="AQ87" s="723" t="n">
        <v>7</v>
      </c>
      <c r="AR87" s="723" t="n">
        <v>2</v>
      </c>
      <c r="AS87" s="723" t="s">
        <v>3391</v>
      </c>
      <c r="AT87" s="723" t="s">
        <v>3271</v>
      </c>
      <c r="AU87" s="723" t="s">
        <v>2802</v>
      </c>
      <c r="AV87" s="724" t="s">
        <v>3154</v>
      </c>
      <c r="AW87" s="723" t="s">
        <v>2931</v>
      </c>
      <c r="AX87" s="725" t="s">
        <v>3142</v>
      </c>
    </row>
    <row r="88" customFormat="false" ht="12.75" hidden="false" customHeight="false" outlineLevel="0" collapsed="false">
      <c r="A88" s="706" t="n">
        <f aca="false">A87+1</f>
        <v>86</v>
      </c>
      <c r="B88" s="711" t="s">
        <v>3450</v>
      </c>
      <c r="C88" s="708" t="n">
        <v>7</v>
      </c>
      <c r="D88" s="708" t="n">
        <v>3</v>
      </c>
      <c r="E88" s="708" t="s">
        <v>3356</v>
      </c>
      <c r="F88" s="708" t="s">
        <v>3451</v>
      </c>
      <c r="G88" s="708" t="s">
        <v>3452</v>
      </c>
      <c r="H88" s="709" t="s">
        <v>2759</v>
      </c>
      <c r="I88" s="708" t="s">
        <v>2982</v>
      </c>
      <c r="J88" s="712" t="s">
        <v>2922</v>
      </c>
      <c r="K88" s="706" t="n">
        <f aca="false">K87+1</f>
        <v>86</v>
      </c>
      <c r="L88" s="711" t="s">
        <v>3510</v>
      </c>
      <c r="M88" s="708" t="n">
        <v>7</v>
      </c>
      <c r="N88" s="708" t="n">
        <v>4</v>
      </c>
      <c r="O88" s="708" t="s">
        <v>3511</v>
      </c>
      <c r="P88" s="708" t="n">
        <v>6</v>
      </c>
      <c r="Q88" s="708" t="s">
        <v>2719</v>
      </c>
      <c r="R88" s="709" t="s">
        <v>3512</v>
      </c>
      <c r="S88" s="708" t="s">
        <v>2941</v>
      </c>
      <c r="T88" s="712" t="s">
        <v>3122</v>
      </c>
      <c r="U88" s="706" t="n">
        <f aca="false">U87+1</f>
        <v>86</v>
      </c>
      <c r="V88" s="713" t="s">
        <v>3513</v>
      </c>
      <c r="W88" s="714" t="n">
        <v>7</v>
      </c>
      <c r="X88" s="714" t="n">
        <v>3</v>
      </c>
      <c r="Y88" s="715" t="s">
        <v>3255</v>
      </c>
      <c r="Z88" s="714" t="s">
        <v>2718</v>
      </c>
      <c r="AA88" s="714" t="s">
        <v>2719</v>
      </c>
      <c r="AB88" s="714" t="s">
        <v>3514</v>
      </c>
      <c r="AC88" s="714" t="s">
        <v>2751</v>
      </c>
      <c r="AD88" s="712" t="s">
        <v>2873</v>
      </c>
      <c r="AE88" s="716" t="n">
        <f aca="false">AE87+1</f>
        <v>86</v>
      </c>
      <c r="AF88" s="717" t="s">
        <v>3515</v>
      </c>
      <c r="AG88" s="718" t="n">
        <v>8</v>
      </c>
      <c r="AH88" s="718" t="n">
        <v>2</v>
      </c>
      <c r="AI88" s="719" t="s">
        <v>3318</v>
      </c>
      <c r="AJ88" s="718" t="s">
        <v>2718</v>
      </c>
      <c r="AK88" s="718" t="s">
        <v>2755</v>
      </c>
      <c r="AL88" s="718" t="s">
        <v>3287</v>
      </c>
      <c r="AM88" s="718" t="s">
        <v>3001</v>
      </c>
      <c r="AN88" s="710" t="s">
        <v>3140</v>
      </c>
      <c r="AO88" s="716" t="n">
        <f aca="false">AO87+1</f>
        <v>86</v>
      </c>
      <c r="AP88" s="711" t="s">
        <v>3516</v>
      </c>
      <c r="AQ88" s="708" t="n">
        <v>8</v>
      </c>
      <c r="AR88" s="708" t="s">
        <v>2908</v>
      </c>
      <c r="AS88" s="708" t="s">
        <v>3517</v>
      </c>
      <c r="AT88" s="708" t="s">
        <v>2718</v>
      </c>
      <c r="AU88" s="708" t="s">
        <v>3452</v>
      </c>
      <c r="AV88" s="709" t="s">
        <v>2731</v>
      </c>
      <c r="AW88" s="708" t="s">
        <v>2721</v>
      </c>
      <c r="AX88" s="712" t="s">
        <v>2803</v>
      </c>
    </row>
    <row r="89" customFormat="false" ht="12.75" hidden="false" customHeight="false" outlineLevel="0" collapsed="false">
      <c r="A89" s="706" t="n">
        <f aca="false">A88+1</f>
        <v>87</v>
      </c>
      <c r="B89" s="711" t="s">
        <v>3457</v>
      </c>
      <c r="C89" s="708" t="n">
        <v>7</v>
      </c>
      <c r="D89" s="708" t="n">
        <v>1</v>
      </c>
      <c r="E89" s="708" t="s">
        <v>3458</v>
      </c>
      <c r="F89" s="708" t="s">
        <v>2754</v>
      </c>
      <c r="G89" s="708" t="s">
        <v>2755</v>
      </c>
      <c r="H89" s="709" t="s">
        <v>3459</v>
      </c>
      <c r="I89" s="708" t="s">
        <v>2726</v>
      </c>
      <c r="J89" s="712" t="s">
        <v>2773</v>
      </c>
      <c r="K89" s="706" t="n">
        <f aca="false">K88+1</f>
        <v>87</v>
      </c>
      <c r="L89" s="711" t="s">
        <v>3518</v>
      </c>
      <c r="M89" s="708" t="n">
        <v>7</v>
      </c>
      <c r="N89" s="708" t="n">
        <v>1</v>
      </c>
      <c r="O89" s="708" t="s">
        <v>3275</v>
      </c>
      <c r="P89" s="708" t="s">
        <v>2754</v>
      </c>
      <c r="Q89" s="708" t="s">
        <v>2802</v>
      </c>
      <c r="R89" s="709" t="s">
        <v>3519</v>
      </c>
      <c r="S89" s="708" t="s">
        <v>2785</v>
      </c>
      <c r="T89" s="712" t="s">
        <v>2894</v>
      </c>
      <c r="U89" s="706" t="n">
        <f aca="false">U88+1</f>
        <v>87</v>
      </c>
      <c r="V89" s="713" t="s">
        <v>3520</v>
      </c>
      <c r="W89" s="731" t="n">
        <v>7</v>
      </c>
      <c r="X89" s="714" t="n">
        <v>1</v>
      </c>
      <c r="Y89" s="715" t="s">
        <v>3441</v>
      </c>
      <c r="Z89" s="714" t="s">
        <v>2718</v>
      </c>
      <c r="AA89" s="714" t="s">
        <v>2802</v>
      </c>
      <c r="AB89" s="714" t="s">
        <v>3287</v>
      </c>
      <c r="AC89" s="714" t="s">
        <v>2732</v>
      </c>
      <c r="AD89" s="712" t="s">
        <v>2875</v>
      </c>
      <c r="AE89" s="716" t="n">
        <f aca="false">AE88+1</f>
        <v>87</v>
      </c>
      <c r="AF89" s="720" t="s">
        <v>3521</v>
      </c>
      <c r="AG89" s="714" t="n">
        <v>8</v>
      </c>
      <c r="AH89" s="714" t="n">
        <v>3</v>
      </c>
      <c r="AI89" s="715" t="s">
        <v>3475</v>
      </c>
      <c r="AJ89" s="714" t="s">
        <v>2718</v>
      </c>
      <c r="AK89" s="714" t="s">
        <v>2736</v>
      </c>
      <c r="AL89" s="714" t="s">
        <v>3202</v>
      </c>
      <c r="AM89" s="714" t="s">
        <v>2821</v>
      </c>
      <c r="AN89" s="712" t="s">
        <v>2786</v>
      </c>
      <c r="AO89" s="716" t="n">
        <f aca="false">AO88+1</f>
        <v>87</v>
      </c>
      <c r="AP89" s="711" t="s">
        <v>3522</v>
      </c>
      <c r="AQ89" s="708" t="n">
        <v>8</v>
      </c>
      <c r="AR89" s="708" t="n">
        <v>3</v>
      </c>
      <c r="AS89" s="708" t="s">
        <v>3523</v>
      </c>
      <c r="AT89" s="708" t="s">
        <v>2718</v>
      </c>
      <c r="AU89" s="708" t="s">
        <v>3452</v>
      </c>
      <c r="AV89" s="709" t="s">
        <v>3524</v>
      </c>
      <c r="AW89" s="708" t="s">
        <v>3035</v>
      </c>
      <c r="AX89" s="712" t="s">
        <v>3058</v>
      </c>
    </row>
    <row r="90" customFormat="false" ht="12.75" hidden="false" customHeight="false" outlineLevel="0" collapsed="false">
      <c r="A90" s="706" t="n">
        <f aca="false">A89+1</f>
        <v>88</v>
      </c>
      <c r="B90" s="711" t="s">
        <v>3471</v>
      </c>
      <c r="C90" s="708" t="n">
        <v>7</v>
      </c>
      <c r="D90" s="708" t="n">
        <v>4</v>
      </c>
      <c r="E90" s="708" t="s">
        <v>3472</v>
      </c>
      <c r="F90" s="708" t="s">
        <v>2718</v>
      </c>
      <c r="G90" s="708" t="s">
        <v>2755</v>
      </c>
      <c r="H90" s="709" t="s">
        <v>3473</v>
      </c>
      <c r="I90" s="708" t="s">
        <v>2737</v>
      </c>
      <c r="J90" s="712" t="s">
        <v>2760</v>
      </c>
      <c r="K90" s="706" t="n">
        <f aca="false">K89+1</f>
        <v>88</v>
      </c>
      <c r="L90" s="711" t="s">
        <v>3525</v>
      </c>
      <c r="M90" s="708" t="n">
        <v>7</v>
      </c>
      <c r="N90" s="708" t="n">
        <v>3</v>
      </c>
      <c r="O90" s="708" t="s">
        <v>3290</v>
      </c>
      <c r="P90" s="708" t="s">
        <v>2718</v>
      </c>
      <c r="Q90" s="708" t="s">
        <v>2736</v>
      </c>
      <c r="R90" s="709" t="s">
        <v>3526</v>
      </c>
      <c r="S90" s="708" t="s">
        <v>2821</v>
      </c>
      <c r="T90" s="712" t="s">
        <v>2894</v>
      </c>
      <c r="U90" s="706" t="n">
        <f aca="false">U89+1</f>
        <v>88</v>
      </c>
      <c r="V90" s="713" t="s">
        <v>3527</v>
      </c>
      <c r="W90" s="714" t="n">
        <v>7</v>
      </c>
      <c r="X90" s="714" t="n">
        <v>4</v>
      </c>
      <c r="Y90" s="715" t="s">
        <v>3528</v>
      </c>
      <c r="Z90" s="714" t="n">
        <v>6</v>
      </c>
      <c r="AA90" s="714" t="s">
        <v>2719</v>
      </c>
      <c r="AB90" s="714" t="s">
        <v>3202</v>
      </c>
      <c r="AC90" s="714" t="s">
        <v>2995</v>
      </c>
      <c r="AD90" s="712" t="s">
        <v>3208</v>
      </c>
      <c r="AE90" s="716" t="n">
        <f aca="false">AE89+1</f>
        <v>88</v>
      </c>
      <c r="AF90" s="720" t="s">
        <v>3529</v>
      </c>
      <c r="AG90" s="714" t="n">
        <v>8</v>
      </c>
      <c r="AH90" s="714" t="n">
        <v>2</v>
      </c>
      <c r="AI90" s="715" t="s">
        <v>3507</v>
      </c>
      <c r="AJ90" s="714" t="s">
        <v>2754</v>
      </c>
      <c r="AK90" s="714" t="s">
        <v>2719</v>
      </c>
      <c r="AL90" s="714" t="s">
        <v>3385</v>
      </c>
      <c r="AM90" s="714" t="s">
        <v>2796</v>
      </c>
      <c r="AN90" s="712" t="s">
        <v>2800</v>
      </c>
      <c r="AO90" s="716" t="n">
        <f aca="false">AO89+1</f>
        <v>88</v>
      </c>
      <c r="AP90" s="720" t="s">
        <v>3530</v>
      </c>
      <c r="AQ90" s="714" t="n">
        <v>8</v>
      </c>
      <c r="AR90" s="714" t="n">
        <v>3</v>
      </c>
      <c r="AS90" s="715" t="s">
        <v>3295</v>
      </c>
      <c r="AT90" s="714" t="s">
        <v>2718</v>
      </c>
      <c r="AU90" s="714" t="s">
        <v>2719</v>
      </c>
      <c r="AV90" s="714" t="s">
        <v>3202</v>
      </c>
      <c r="AW90" s="714" t="s">
        <v>2721</v>
      </c>
      <c r="AX90" s="712" t="s">
        <v>2860</v>
      </c>
    </row>
    <row r="91" customFormat="false" ht="12.75" hidden="false" customHeight="false" outlineLevel="0" collapsed="false">
      <c r="A91" s="706" t="n">
        <f aca="false">A90+1</f>
        <v>89</v>
      </c>
      <c r="B91" s="711" t="s">
        <v>3531</v>
      </c>
      <c r="C91" s="708" t="n">
        <v>7</v>
      </c>
      <c r="D91" s="708" t="n">
        <v>4</v>
      </c>
      <c r="E91" s="708" t="s">
        <v>3532</v>
      </c>
      <c r="F91" s="708" t="s">
        <v>3533</v>
      </c>
      <c r="G91" s="708" t="s">
        <v>2719</v>
      </c>
      <c r="H91" s="709" t="s">
        <v>3534</v>
      </c>
      <c r="I91" s="708" t="s">
        <v>3535</v>
      </c>
      <c r="J91" s="712" t="s">
        <v>2932</v>
      </c>
      <c r="K91" s="706" t="n">
        <f aca="false">K90+1</f>
        <v>89</v>
      </c>
      <c r="L91" s="711" t="s">
        <v>3502</v>
      </c>
      <c r="M91" s="708" t="n">
        <v>7</v>
      </c>
      <c r="N91" s="708" t="n">
        <v>1</v>
      </c>
      <c r="O91" s="708" t="s">
        <v>3233</v>
      </c>
      <c r="P91" s="708" t="s">
        <v>2718</v>
      </c>
      <c r="Q91" s="708" t="s">
        <v>2719</v>
      </c>
      <c r="R91" s="709" t="s">
        <v>3503</v>
      </c>
      <c r="S91" s="708" t="s">
        <v>2931</v>
      </c>
      <c r="T91" s="712" t="s">
        <v>2962</v>
      </c>
      <c r="U91" s="706" t="n">
        <f aca="false">U90+1</f>
        <v>89</v>
      </c>
      <c r="V91" s="713" t="s">
        <v>3495</v>
      </c>
      <c r="W91" s="714" t="n">
        <v>7</v>
      </c>
      <c r="X91" s="714" t="n">
        <v>3</v>
      </c>
      <c r="Y91" s="715" t="s">
        <v>3441</v>
      </c>
      <c r="Z91" s="714" t="s">
        <v>2960</v>
      </c>
      <c r="AA91" s="714" t="s">
        <v>2719</v>
      </c>
      <c r="AB91" s="714" t="s">
        <v>2750</v>
      </c>
      <c r="AC91" s="714" t="s">
        <v>2721</v>
      </c>
      <c r="AD91" s="712" t="s">
        <v>3024</v>
      </c>
      <c r="AE91" s="716" t="n">
        <f aca="false">AE90+1</f>
        <v>89</v>
      </c>
      <c r="AF91" s="720" t="s">
        <v>3530</v>
      </c>
      <c r="AG91" s="714" t="n">
        <v>8</v>
      </c>
      <c r="AH91" s="714" t="n">
        <v>3</v>
      </c>
      <c r="AI91" s="715" t="s">
        <v>3295</v>
      </c>
      <c r="AJ91" s="714" t="s">
        <v>2718</v>
      </c>
      <c r="AK91" s="714" t="s">
        <v>2719</v>
      </c>
      <c r="AL91" s="714" t="s">
        <v>3202</v>
      </c>
      <c r="AM91" s="714" t="s">
        <v>2721</v>
      </c>
      <c r="AN91" s="712" t="s">
        <v>2860</v>
      </c>
      <c r="AO91" s="716" t="n">
        <f aca="false">AO90+1</f>
        <v>89</v>
      </c>
      <c r="AP91" s="711" t="s">
        <v>3536</v>
      </c>
      <c r="AQ91" s="708" t="n">
        <v>8</v>
      </c>
      <c r="AR91" s="708" t="n">
        <v>2</v>
      </c>
      <c r="AS91" s="708" t="s">
        <v>3318</v>
      </c>
      <c r="AT91" s="708" t="s">
        <v>2718</v>
      </c>
      <c r="AU91" s="708" t="s">
        <v>3452</v>
      </c>
      <c r="AV91" s="709" t="s">
        <v>3385</v>
      </c>
      <c r="AW91" s="708" t="s">
        <v>2777</v>
      </c>
      <c r="AX91" s="712" t="s">
        <v>2885</v>
      </c>
    </row>
    <row r="92" customFormat="false" ht="12.75" hidden="false" customHeight="false" outlineLevel="0" collapsed="false">
      <c r="A92" s="706" t="n">
        <f aca="false">A91+1</f>
        <v>90</v>
      </c>
      <c r="B92" s="711" t="s">
        <v>3537</v>
      </c>
      <c r="C92" s="708" t="n">
        <v>7</v>
      </c>
      <c r="D92" s="708" t="n">
        <v>2</v>
      </c>
      <c r="E92" s="708" t="s">
        <v>3138</v>
      </c>
      <c r="F92" s="708" t="s">
        <v>2718</v>
      </c>
      <c r="G92" s="708" t="s">
        <v>2794</v>
      </c>
      <c r="H92" s="709" t="s">
        <v>262</v>
      </c>
      <c r="I92" s="708" t="s">
        <v>3071</v>
      </c>
      <c r="J92" s="712" t="s">
        <v>2932</v>
      </c>
      <c r="K92" s="706" t="n">
        <f aca="false">K91+1</f>
        <v>90</v>
      </c>
      <c r="L92" s="707" t="s">
        <v>3538</v>
      </c>
      <c r="M92" s="213" t="n">
        <v>8</v>
      </c>
      <c r="N92" s="213" t="n">
        <v>4</v>
      </c>
      <c r="O92" s="213" t="s">
        <v>3539</v>
      </c>
      <c r="P92" s="213" t="s">
        <v>2718</v>
      </c>
      <c r="Q92" s="213" t="s">
        <v>2749</v>
      </c>
      <c r="R92" s="212" t="s">
        <v>3202</v>
      </c>
      <c r="S92" s="213" t="s">
        <v>2785</v>
      </c>
      <c r="T92" s="710" t="s">
        <v>3246</v>
      </c>
      <c r="U92" s="706" t="n">
        <f aca="false">U91+1</f>
        <v>90</v>
      </c>
      <c r="V92" s="713" t="s">
        <v>3540</v>
      </c>
      <c r="W92" s="714" t="n">
        <v>7</v>
      </c>
      <c r="X92" s="714" t="n">
        <v>3</v>
      </c>
      <c r="Y92" s="715" t="s">
        <v>3541</v>
      </c>
      <c r="Z92" s="714" t="s">
        <v>2718</v>
      </c>
      <c r="AA92" s="714" t="s">
        <v>2755</v>
      </c>
      <c r="AB92" s="714" t="s">
        <v>3542</v>
      </c>
      <c r="AC92" s="714" t="s">
        <v>2751</v>
      </c>
      <c r="AD92" s="712" t="s">
        <v>3024</v>
      </c>
      <c r="AE92" s="716" t="n">
        <f aca="false">AE91+1</f>
        <v>90</v>
      </c>
      <c r="AF92" s="720" t="s">
        <v>3543</v>
      </c>
      <c r="AG92" s="714" t="n">
        <v>8</v>
      </c>
      <c r="AH92" s="714" t="n">
        <v>2</v>
      </c>
      <c r="AI92" s="715" t="s">
        <v>3395</v>
      </c>
      <c r="AJ92" s="714" t="s">
        <v>2718</v>
      </c>
      <c r="AK92" s="714" t="s">
        <v>2981</v>
      </c>
      <c r="AL92" s="714" t="s">
        <v>2858</v>
      </c>
      <c r="AM92" s="714" t="s">
        <v>2854</v>
      </c>
      <c r="AN92" s="712" t="s">
        <v>2948</v>
      </c>
      <c r="AO92" s="716" t="n">
        <f aca="false">AO91+1</f>
        <v>90</v>
      </c>
      <c r="AP92" s="713" t="s">
        <v>3544</v>
      </c>
      <c r="AQ92" s="714" t="n">
        <v>8</v>
      </c>
      <c r="AR92" s="714" t="n">
        <v>5</v>
      </c>
      <c r="AS92" s="715" t="s">
        <v>3295</v>
      </c>
      <c r="AT92" s="714" t="s">
        <v>2718</v>
      </c>
      <c r="AU92" s="714" t="s">
        <v>2719</v>
      </c>
      <c r="AV92" s="714" t="s">
        <v>262</v>
      </c>
      <c r="AW92" s="714" t="s">
        <v>3482</v>
      </c>
      <c r="AX92" s="712" t="s">
        <v>3142</v>
      </c>
    </row>
    <row r="93" customFormat="false" ht="12.75" hidden="false" customHeight="false" outlineLevel="0" collapsed="false">
      <c r="A93" s="706" t="n">
        <f aca="false">A92+1</f>
        <v>91</v>
      </c>
      <c r="B93" s="711" t="s">
        <v>3545</v>
      </c>
      <c r="C93" s="708" t="n">
        <v>7</v>
      </c>
      <c r="D93" s="708" t="s">
        <v>2572</v>
      </c>
      <c r="E93" s="708" t="s">
        <v>3138</v>
      </c>
      <c r="F93" s="708" t="s">
        <v>2754</v>
      </c>
      <c r="G93" s="708" t="s">
        <v>2794</v>
      </c>
      <c r="H93" s="709" t="s">
        <v>3546</v>
      </c>
      <c r="I93" s="708" t="s">
        <v>2721</v>
      </c>
      <c r="J93" s="712" t="s">
        <v>3061</v>
      </c>
      <c r="K93" s="706" t="n">
        <f aca="false">K92+1</f>
        <v>91</v>
      </c>
      <c r="L93" s="711" t="s">
        <v>3516</v>
      </c>
      <c r="M93" s="708" t="n">
        <v>8</v>
      </c>
      <c r="N93" s="708" t="s">
        <v>2908</v>
      </c>
      <c r="O93" s="708" t="s">
        <v>3517</v>
      </c>
      <c r="P93" s="708" t="s">
        <v>2718</v>
      </c>
      <c r="Q93" s="708" t="s">
        <v>3452</v>
      </c>
      <c r="R93" s="709" t="s">
        <v>2731</v>
      </c>
      <c r="S93" s="708" t="s">
        <v>2721</v>
      </c>
      <c r="T93" s="712" t="s">
        <v>2803</v>
      </c>
      <c r="U93" s="706" t="n">
        <f aca="false">U92+1</f>
        <v>91</v>
      </c>
      <c r="V93" s="713" t="s">
        <v>3547</v>
      </c>
      <c r="W93" s="714" t="n">
        <v>7</v>
      </c>
      <c r="X93" s="714" t="n">
        <v>2</v>
      </c>
      <c r="Y93" s="715" t="s">
        <v>3228</v>
      </c>
      <c r="Z93" s="714" t="s">
        <v>2718</v>
      </c>
      <c r="AA93" s="714" t="s">
        <v>2719</v>
      </c>
      <c r="AB93" s="714" t="s">
        <v>2772</v>
      </c>
      <c r="AC93" s="714" t="s">
        <v>2737</v>
      </c>
      <c r="AD93" s="712" t="s">
        <v>3142</v>
      </c>
      <c r="AE93" s="716" t="n">
        <f aca="false">AE92+1</f>
        <v>91</v>
      </c>
      <c r="AF93" s="720" t="s">
        <v>3548</v>
      </c>
      <c r="AG93" s="714" t="n">
        <v>8</v>
      </c>
      <c r="AH93" s="714" t="n">
        <v>2</v>
      </c>
      <c r="AI93" s="715" t="s">
        <v>3549</v>
      </c>
      <c r="AJ93" s="714" t="s">
        <v>2718</v>
      </c>
      <c r="AK93" s="714" t="s">
        <v>2802</v>
      </c>
      <c r="AL93" s="714" t="s">
        <v>3202</v>
      </c>
      <c r="AM93" s="714" t="s">
        <v>2829</v>
      </c>
      <c r="AN93" s="712" t="s">
        <v>2875</v>
      </c>
      <c r="AO93" s="716" t="n">
        <f aca="false">AO92+1</f>
        <v>91</v>
      </c>
      <c r="AP93" s="732" t="s">
        <v>3550</v>
      </c>
      <c r="AQ93" s="729" t="n">
        <v>8</v>
      </c>
      <c r="AR93" s="729" t="n">
        <v>3</v>
      </c>
      <c r="AS93" s="730" t="s">
        <v>3551</v>
      </c>
      <c r="AT93" s="729" t="s">
        <v>2718</v>
      </c>
      <c r="AU93" s="729" t="s">
        <v>2719</v>
      </c>
      <c r="AV93" s="729" t="s">
        <v>3202</v>
      </c>
      <c r="AW93" s="729" t="s">
        <v>2721</v>
      </c>
      <c r="AX93" s="725" t="s">
        <v>3039</v>
      </c>
    </row>
    <row r="94" customFormat="false" ht="12.75" hidden="false" customHeight="false" outlineLevel="0" collapsed="false">
      <c r="A94" s="706" t="n">
        <f aca="false">A93+1</f>
        <v>92</v>
      </c>
      <c r="B94" s="711" t="s">
        <v>3552</v>
      </c>
      <c r="C94" s="708" t="n">
        <v>7</v>
      </c>
      <c r="D94" s="708" t="n">
        <v>2</v>
      </c>
      <c r="E94" s="708" t="s">
        <v>3441</v>
      </c>
      <c r="F94" s="708" t="s">
        <v>2718</v>
      </c>
      <c r="G94" s="708" t="s">
        <v>2856</v>
      </c>
      <c r="H94" s="709" t="s">
        <v>3553</v>
      </c>
      <c r="I94" s="708" t="s">
        <v>2777</v>
      </c>
      <c r="J94" s="712" t="s">
        <v>2815</v>
      </c>
      <c r="K94" s="706" t="n">
        <f aca="false">K93+1</f>
        <v>92</v>
      </c>
      <c r="L94" s="711" t="s">
        <v>3554</v>
      </c>
      <c r="M94" s="708" t="n">
        <v>8</v>
      </c>
      <c r="N94" s="708" t="n">
        <v>4</v>
      </c>
      <c r="O94" s="708" t="s">
        <v>3295</v>
      </c>
      <c r="P94" s="708" t="s">
        <v>2718</v>
      </c>
      <c r="Q94" s="708" t="s">
        <v>2749</v>
      </c>
      <c r="R94" s="709" t="s">
        <v>3202</v>
      </c>
      <c r="S94" s="708" t="s">
        <v>2810</v>
      </c>
      <c r="T94" s="712" t="s">
        <v>3049</v>
      </c>
      <c r="U94" s="706" t="n">
        <f aca="false">U93+1</f>
        <v>92</v>
      </c>
      <c r="V94" s="721" t="s">
        <v>3555</v>
      </c>
      <c r="W94" s="718" t="n">
        <v>8</v>
      </c>
      <c r="X94" s="718" t="n">
        <v>3</v>
      </c>
      <c r="Y94" s="719" t="s">
        <v>3507</v>
      </c>
      <c r="Z94" s="718" t="s">
        <v>2718</v>
      </c>
      <c r="AA94" s="718" t="s">
        <v>2749</v>
      </c>
      <c r="AB94" s="718" t="s">
        <v>2731</v>
      </c>
      <c r="AC94" s="718" t="s">
        <v>2737</v>
      </c>
      <c r="AD94" s="710" t="s">
        <v>2786</v>
      </c>
      <c r="AE94" s="716" t="n">
        <f aca="false">AE93+1</f>
        <v>92</v>
      </c>
      <c r="AF94" s="732" t="s">
        <v>3550</v>
      </c>
      <c r="AG94" s="729" t="n">
        <v>8</v>
      </c>
      <c r="AH94" s="729" t="n">
        <v>3</v>
      </c>
      <c r="AI94" s="730" t="s">
        <v>3551</v>
      </c>
      <c r="AJ94" s="729" t="s">
        <v>2718</v>
      </c>
      <c r="AK94" s="729" t="s">
        <v>2719</v>
      </c>
      <c r="AL94" s="729" t="s">
        <v>3202</v>
      </c>
      <c r="AM94" s="729" t="s">
        <v>2721</v>
      </c>
      <c r="AN94" s="725" t="s">
        <v>3039</v>
      </c>
      <c r="AO94" s="716" t="n">
        <f aca="false">AO93+1</f>
        <v>92</v>
      </c>
      <c r="AP94" s="711" t="s">
        <v>3556</v>
      </c>
      <c r="AQ94" s="708" t="n">
        <v>9</v>
      </c>
      <c r="AR94" s="708" t="n">
        <v>3</v>
      </c>
      <c r="AS94" s="708" t="s">
        <v>3557</v>
      </c>
      <c r="AT94" s="708" t="s">
        <v>3451</v>
      </c>
      <c r="AU94" s="708" t="s">
        <v>3452</v>
      </c>
      <c r="AV94" s="709" t="s">
        <v>2858</v>
      </c>
      <c r="AW94" s="708" t="s">
        <v>2982</v>
      </c>
      <c r="AX94" s="712" t="s">
        <v>3558</v>
      </c>
    </row>
    <row r="95" customFormat="false" ht="12.75" hidden="false" customHeight="false" outlineLevel="0" collapsed="false">
      <c r="A95" s="706" t="n">
        <f aca="false">A94+1</f>
        <v>93</v>
      </c>
      <c r="B95" s="711" t="s">
        <v>3559</v>
      </c>
      <c r="C95" s="708" t="n">
        <v>7</v>
      </c>
      <c r="D95" s="708" t="n">
        <v>1</v>
      </c>
      <c r="E95" s="708" t="s">
        <v>3138</v>
      </c>
      <c r="F95" s="708" t="s">
        <v>2718</v>
      </c>
      <c r="G95" s="708" t="s">
        <v>2802</v>
      </c>
      <c r="H95" s="709" t="s">
        <v>2731</v>
      </c>
      <c r="I95" s="708" t="s">
        <v>2751</v>
      </c>
      <c r="J95" s="712" t="s">
        <v>2939</v>
      </c>
      <c r="K95" s="706" t="n">
        <f aca="false">K94+1</f>
        <v>93</v>
      </c>
      <c r="L95" s="711" t="s">
        <v>3560</v>
      </c>
      <c r="M95" s="708" t="n">
        <v>8</v>
      </c>
      <c r="N95" s="708" t="n">
        <v>3</v>
      </c>
      <c r="O95" s="708" t="s">
        <v>3523</v>
      </c>
      <c r="P95" s="708" t="n">
        <v>6</v>
      </c>
      <c r="Q95" s="708" t="s">
        <v>2744</v>
      </c>
      <c r="R95" s="709" t="s">
        <v>2759</v>
      </c>
      <c r="S95" s="708" t="s">
        <v>2757</v>
      </c>
      <c r="T95" s="712" t="s">
        <v>2851</v>
      </c>
      <c r="U95" s="706" t="n">
        <f aca="false">U94+1</f>
        <v>93</v>
      </c>
      <c r="V95" s="713" t="s">
        <v>3561</v>
      </c>
      <c r="W95" s="714" t="n">
        <v>8</v>
      </c>
      <c r="X95" s="714" t="n">
        <v>3</v>
      </c>
      <c r="Y95" s="715" t="s">
        <v>3507</v>
      </c>
      <c r="Z95" s="714" t="n">
        <v>6</v>
      </c>
      <c r="AA95" s="714" t="s">
        <v>2856</v>
      </c>
      <c r="AB95" s="714" t="s">
        <v>2858</v>
      </c>
      <c r="AC95" s="714" t="s">
        <v>3501</v>
      </c>
      <c r="AD95" s="712" t="s">
        <v>2939</v>
      </c>
      <c r="AE95" s="716" t="n">
        <f aca="false">AE94+1</f>
        <v>93</v>
      </c>
      <c r="AF95" s="720" t="s">
        <v>3562</v>
      </c>
      <c r="AG95" s="714" t="n">
        <v>9</v>
      </c>
      <c r="AH95" s="714" t="n">
        <v>3</v>
      </c>
      <c r="AI95" s="715" t="s">
        <v>3563</v>
      </c>
      <c r="AJ95" s="714" t="s">
        <v>2718</v>
      </c>
      <c r="AK95" s="714" t="s">
        <v>2744</v>
      </c>
      <c r="AL95" s="714" t="s">
        <v>2858</v>
      </c>
      <c r="AM95" s="714" t="s">
        <v>2726</v>
      </c>
      <c r="AN95" s="712" t="s">
        <v>3564</v>
      </c>
      <c r="AO95" s="716" t="n">
        <f aca="false">AO94+1</f>
        <v>93</v>
      </c>
      <c r="AP95" s="720" t="s">
        <v>3565</v>
      </c>
      <c r="AQ95" s="714" t="n">
        <v>9</v>
      </c>
      <c r="AR95" s="714" t="n">
        <v>4</v>
      </c>
      <c r="AS95" s="715" t="s">
        <v>3346</v>
      </c>
      <c r="AT95" s="714" t="s">
        <v>2754</v>
      </c>
      <c r="AU95" s="714" t="s">
        <v>2749</v>
      </c>
      <c r="AV95" s="714" t="s">
        <v>3566</v>
      </c>
      <c r="AW95" s="714" t="s">
        <v>2751</v>
      </c>
      <c r="AX95" s="712" t="s">
        <v>3567</v>
      </c>
    </row>
    <row r="96" customFormat="false" ht="12.75" hidden="false" customHeight="false" outlineLevel="0" collapsed="false">
      <c r="A96" s="706" t="n">
        <f aca="false">A95+1</f>
        <v>94</v>
      </c>
      <c r="B96" s="711" t="s">
        <v>3568</v>
      </c>
      <c r="C96" s="708" t="n">
        <v>7</v>
      </c>
      <c r="D96" s="708" t="n">
        <v>2</v>
      </c>
      <c r="E96" s="708" t="s">
        <v>3391</v>
      </c>
      <c r="F96" s="708" t="s">
        <v>2718</v>
      </c>
      <c r="G96" s="708" t="s">
        <v>2802</v>
      </c>
      <c r="H96" s="709" t="s">
        <v>2772</v>
      </c>
      <c r="I96" s="708" t="s">
        <v>2726</v>
      </c>
      <c r="J96" s="712" t="s">
        <v>3011</v>
      </c>
      <c r="K96" s="706" t="n">
        <f aca="false">K95+1</f>
        <v>94</v>
      </c>
      <c r="L96" s="711" t="s">
        <v>3569</v>
      </c>
      <c r="M96" s="708" t="n">
        <v>8</v>
      </c>
      <c r="N96" s="708" t="n">
        <v>4</v>
      </c>
      <c r="O96" s="708" t="s">
        <v>3539</v>
      </c>
      <c r="P96" s="708" t="s">
        <v>2718</v>
      </c>
      <c r="Q96" s="708" t="s">
        <v>2866</v>
      </c>
      <c r="R96" s="709" t="s">
        <v>3287</v>
      </c>
      <c r="S96" s="708" t="s">
        <v>2751</v>
      </c>
      <c r="T96" s="712" t="s">
        <v>3236</v>
      </c>
      <c r="U96" s="706" t="n">
        <f aca="false">U95+1</f>
        <v>94</v>
      </c>
      <c r="V96" s="713" t="s">
        <v>3570</v>
      </c>
      <c r="W96" s="714" t="n">
        <v>8</v>
      </c>
      <c r="X96" s="714" t="n">
        <v>6</v>
      </c>
      <c r="Y96" s="715" t="s">
        <v>3571</v>
      </c>
      <c r="Z96" s="714" t="s">
        <v>2718</v>
      </c>
      <c r="AA96" s="714" t="s">
        <v>2719</v>
      </c>
      <c r="AB96" s="714" t="s">
        <v>3572</v>
      </c>
      <c r="AC96" s="714" t="s">
        <v>3027</v>
      </c>
      <c r="AD96" s="712" t="s">
        <v>2951</v>
      </c>
      <c r="AE96" s="716" t="n">
        <f aca="false">AE95+1</f>
        <v>94</v>
      </c>
      <c r="AF96" s="720" t="s">
        <v>3573</v>
      </c>
      <c r="AG96" s="714" t="n">
        <v>9</v>
      </c>
      <c r="AH96" s="714" t="n">
        <v>2</v>
      </c>
      <c r="AI96" s="715" t="s">
        <v>3574</v>
      </c>
      <c r="AJ96" s="714" t="s">
        <v>2718</v>
      </c>
      <c r="AK96" s="714" t="s">
        <v>2736</v>
      </c>
      <c r="AL96" s="714" t="s">
        <v>3575</v>
      </c>
      <c r="AM96" s="714" t="s">
        <v>3492</v>
      </c>
      <c r="AN96" s="712" t="s">
        <v>3558</v>
      </c>
      <c r="AO96" s="716" t="n">
        <f aca="false">AO95+1</f>
        <v>94</v>
      </c>
      <c r="AP96" s="711" t="s">
        <v>3576</v>
      </c>
      <c r="AQ96" s="708" t="n">
        <v>9</v>
      </c>
      <c r="AR96" s="708" t="n">
        <v>5</v>
      </c>
      <c r="AS96" s="708" t="s">
        <v>3577</v>
      </c>
      <c r="AT96" s="708" t="s">
        <v>2718</v>
      </c>
      <c r="AU96" s="708" t="s">
        <v>2866</v>
      </c>
      <c r="AV96" s="709" t="s">
        <v>3202</v>
      </c>
      <c r="AW96" s="708" t="s">
        <v>3578</v>
      </c>
      <c r="AX96" s="712" t="s">
        <v>3579</v>
      </c>
    </row>
    <row r="97" customFormat="false" ht="12.75" hidden="false" customHeight="false" outlineLevel="0" collapsed="false">
      <c r="A97" s="706" t="n">
        <f aca="false">A96+1</f>
        <v>95</v>
      </c>
      <c r="B97" s="711" t="s">
        <v>3580</v>
      </c>
      <c r="C97" s="708" t="n">
        <v>7</v>
      </c>
      <c r="D97" s="708" t="n">
        <v>3</v>
      </c>
      <c r="E97" s="708" t="s">
        <v>3233</v>
      </c>
      <c r="F97" s="708" t="s">
        <v>2718</v>
      </c>
      <c r="G97" s="708" t="s">
        <v>2755</v>
      </c>
      <c r="H97" s="709" t="s">
        <v>3581</v>
      </c>
      <c r="I97" s="708" t="s">
        <v>3582</v>
      </c>
      <c r="J97" s="712" t="s">
        <v>2879</v>
      </c>
      <c r="K97" s="706" t="n">
        <f aca="false">K96+1</f>
        <v>95</v>
      </c>
      <c r="L97" s="711" t="s">
        <v>3522</v>
      </c>
      <c r="M97" s="708" t="n">
        <v>8</v>
      </c>
      <c r="N97" s="708" t="n">
        <v>3</v>
      </c>
      <c r="O97" s="708" t="s">
        <v>3523</v>
      </c>
      <c r="P97" s="708" t="s">
        <v>2718</v>
      </c>
      <c r="Q97" s="708" t="s">
        <v>3452</v>
      </c>
      <c r="R97" s="709" t="s">
        <v>3524</v>
      </c>
      <c r="S97" s="708" t="s">
        <v>3035</v>
      </c>
      <c r="T97" s="712" t="s">
        <v>3058</v>
      </c>
      <c r="U97" s="706" t="n">
        <f aca="false">U96+1</f>
        <v>95</v>
      </c>
      <c r="V97" s="713" t="s">
        <v>3583</v>
      </c>
      <c r="W97" s="714" t="n">
        <v>8</v>
      </c>
      <c r="X97" s="714" t="n">
        <v>2</v>
      </c>
      <c r="Y97" s="715" t="s">
        <v>3584</v>
      </c>
      <c r="Z97" s="714" t="s">
        <v>2754</v>
      </c>
      <c r="AA97" s="714" t="s">
        <v>2719</v>
      </c>
      <c r="AB97" s="714" t="s">
        <v>2858</v>
      </c>
      <c r="AC97" s="714" t="s">
        <v>2931</v>
      </c>
      <c r="AD97" s="712" t="s">
        <v>3200</v>
      </c>
      <c r="AE97" s="716" t="n">
        <f aca="false">AE96+1</f>
        <v>95</v>
      </c>
      <c r="AF97" s="720" t="s">
        <v>3585</v>
      </c>
      <c r="AG97" s="714" t="n">
        <v>9</v>
      </c>
      <c r="AH97" s="714" t="n">
        <v>4</v>
      </c>
      <c r="AI97" s="715" t="s">
        <v>3586</v>
      </c>
      <c r="AJ97" s="714" t="s">
        <v>2754</v>
      </c>
      <c r="AK97" s="714" t="s">
        <v>3587</v>
      </c>
      <c r="AL97" s="714" t="s">
        <v>3202</v>
      </c>
      <c r="AM97" s="714" t="s">
        <v>2757</v>
      </c>
      <c r="AN97" s="712" t="s">
        <v>3588</v>
      </c>
      <c r="AO97" s="716" t="n">
        <f aca="false">AO96+1</f>
        <v>95</v>
      </c>
      <c r="AP97" s="720" t="s">
        <v>3589</v>
      </c>
      <c r="AQ97" s="714" t="n">
        <v>9</v>
      </c>
      <c r="AR97" s="714" t="n">
        <v>6</v>
      </c>
      <c r="AS97" s="715" t="s">
        <v>3590</v>
      </c>
      <c r="AT97" s="714" t="s">
        <v>2718</v>
      </c>
      <c r="AU97" s="714" t="s">
        <v>2719</v>
      </c>
      <c r="AV97" s="714" t="s">
        <v>262</v>
      </c>
      <c r="AW97" s="714" t="s">
        <v>2732</v>
      </c>
      <c r="AX97" s="712" t="s">
        <v>3591</v>
      </c>
    </row>
    <row r="98" customFormat="false" ht="12.75" hidden="false" customHeight="false" outlineLevel="0" collapsed="false">
      <c r="A98" s="706" t="n">
        <f aca="false">A97+1</f>
        <v>96</v>
      </c>
      <c r="B98" s="711" t="s">
        <v>2514</v>
      </c>
      <c r="C98" s="708" t="n">
        <v>7</v>
      </c>
      <c r="D98" s="708" t="n">
        <v>2</v>
      </c>
      <c r="E98" s="708" t="s">
        <v>3391</v>
      </c>
      <c r="F98" s="708" t="s">
        <v>3271</v>
      </c>
      <c r="G98" s="708" t="s">
        <v>2802</v>
      </c>
      <c r="H98" s="709" t="s">
        <v>3154</v>
      </c>
      <c r="I98" s="708" t="s">
        <v>2931</v>
      </c>
      <c r="J98" s="712" t="s">
        <v>3142</v>
      </c>
      <c r="K98" s="706" t="n">
        <f aca="false">K97+1</f>
        <v>96</v>
      </c>
      <c r="L98" s="711" t="s">
        <v>3592</v>
      </c>
      <c r="M98" s="708" t="n">
        <v>8</v>
      </c>
      <c r="N98" s="708" t="n">
        <v>2</v>
      </c>
      <c r="O98" s="708" t="s">
        <v>3318</v>
      </c>
      <c r="P98" s="708" t="s">
        <v>2718</v>
      </c>
      <c r="Q98" s="708" t="s">
        <v>2802</v>
      </c>
      <c r="R98" s="709" t="s">
        <v>3287</v>
      </c>
      <c r="S98" s="708" t="s">
        <v>3365</v>
      </c>
      <c r="T98" s="712" t="s">
        <v>3002</v>
      </c>
      <c r="U98" s="706" t="n">
        <f aca="false">U97+1</f>
        <v>96</v>
      </c>
      <c r="V98" s="713" t="s">
        <v>3593</v>
      </c>
      <c r="W98" s="714" t="n">
        <v>8</v>
      </c>
      <c r="X98" s="714" t="n">
        <v>1</v>
      </c>
      <c r="Y98" s="715" t="s">
        <v>3563</v>
      </c>
      <c r="Z98" s="714" t="s">
        <v>2718</v>
      </c>
      <c r="AA98" s="714" t="s">
        <v>2749</v>
      </c>
      <c r="AB98" s="714" t="s">
        <v>3572</v>
      </c>
      <c r="AC98" s="714" t="s">
        <v>3001</v>
      </c>
      <c r="AD98" s="712" t="s">
        <v>2873</v>
      </c>
      <c r="AE98" s="716" t="n">
        <f aca="false">AE97+1</f>
        <v>96</v>
      </c>
      <c r="AF98" s="720" t="s">
        <v>3565</v>
      </c>
      <c r="AG98" s="714" t="n">
        <v>9</v>
      </c>
      <c r="AH98" s="714" t="n">
        <v>4</v>
      </c>
      <c r="AI98" s="715" t="s">
        <v>3346</v>
      </c>
      <c r="AJ98" s="714" t="s">
        <v>2754</v>
      </c>
      <c r="AK98" s="714" t="s">
        <v>2749</v>
      </c>
      <c r="AL98" s="714" t="s">
        <v>3566</v>
      </c>
      <c r="AM98" s="714" t="s">
        <v>2751</v>
      </c>
      <c r="AN98" s="712" t="s">
        <v>3567</v>
      </c>
      <c r="AO98" s="716" t="n">
        <f aca="false">AO97+1</f>
        <v>96</v>
      </c>
      <c r="AP98" s="720" t="s">
        <v>3594</v>
      </c>
      <c r="AQ98" s="714" t="n">
        <v>9</v>
      </c>
      <c r="AR98" s="714" t="n">
        <v>3</v>
      </c>
      <c r="AS98" s="715" t="s">
        <v>3429</v>
      </c>
      <c r="AT98" s="714" t="s">
        <v>2718</v>
      </c>
      <c r="AU98" s="714" t="s">
        <v>2719</v>
      </c>
      <c r="AV98" s="714" t="s">
        <v>3595</v>
      </c>
      <c r="AW98" s="714" t="s">
        <v>2921</v>
      </c>
      <c r="AX98" s="712" t="s">
        <v>3596</v>
      </c>
    </row>
    <row r="99" customFormat="false" ht="12.75" hidden="false" customHeight="false" outlineLevel="0" collapsed="false">
      <c r="A99" s="706" t="n">
        <f aca="false">A98+1</f>
        <v>97</v>
      </c>
      <c r="B99" s="707" t="s">
        <v>3597</v>
      </c>
      <c r="C99" s="213" t="n">
        <v>8</v>
      </c>
      <c r="D99" s="213" t="n">
        <v>2</v>
      </c>
      <c r="E99" s="213" t="s">
        <v>3138</v>
      </c>
      <c r="F99" s="213" t="s">
        <v>2754</v>
      </c>
      <c r="G99" s="213" t="s">
        <v>2719</v>
      </c>
      <c r="H99" s="212" t="s">
        <v>3202</v>
      </c>
      <c r="I99" s="213" t="s">
        <v>2751</v>
      </c>
      <c r="J99" s="710" t="s">
        <v>3598</v>
      </c>
      <c r="K99" s="706" t="n">
        <f aca="false">K98+1</f>
        <v>97</v>
      </c>
      <c r="L99" s="707" t="s">
        <v>3599</v>
      </c>
      <c r="M99" s="213" t="n">
        <v>9</v>
      </c>
      <c r="N99" s="213" t="n">
        <v>3</v>
      </c>
      <c r="O99" s="213" t="s">
        <v>3507</v>
      </c>
      <c r="P99" s="213" t="s">
        <v>3065</v>
      </c>
      <c r="Q99" s="213" t="s">
        <v>3600</v>
      </c>
      <c r="R99" s="212" t="s">
        <v>3601</v>
      </c>
      <c r="S99" s="213" t="s">
        <v>3001</v>
      </c>
      <c r="T99" s="710" t="s">
        <v>3602</v>
      </c>
      <c r="U99" s="706" t="n">
        <f aca="false">U98+1</f>
        <v>97</v>
      </c>
      <c r="V99" s="713" t="s">
        <v>3603</v>
      </c>
      <c r="W99" s="714" t="n">
        <v>8</v>
      </c>
      <c r="X99" s="714" t="n">
        <v>2</v>
      </c>
      <c r="Y99" s="715" t="s">
        <v>3604</v>
      </c>
      <c r="Z99" s="714" t="s">
        <v>2718</v>
      </c>
      <c r="AA99" s="714" t="s">
        <v>2823</v>
      </c>
      <c r="AB99" s="714" t="s">
        <v>2759</v>
      </c>
      <c r="AC99" s="714" t="s">
        <v>2737</v>
      </c>
      <c r="AD99" s="712" t="s">
        <v>3002</v>
      </c>
      <c r="AE99" s="716" t="n">
        <f aca="false">AE98+1</f>
        <v>97</v>
      </c>
      <c r="AF99" s="720" t="s">
        <v>3605</v>
      </c>
      <c r="AG99" s="714" t="n">
        <v>9</v>
      </c>
      <c r="AH99" s="714" t="n">
        <v>5</v>
      </c>
      <c r="AI99" s="715" t="s">
        <v>3586</v>
      </c>
      <c r="AJ99" s="714" t="s">
        <v>2718</v>
      </c>
      <c r="AK99" s="714" t="s">
        <v>2749</v>
      </c>
      <c r="AL99" s="714" t="s">
        <v>2967</v>
      </c>
      <c r="AM99" s="714" t="s">
        <v>3606</v>
      </c>
      <c r="AN99" s="712" t="s">
        <v>3579</v>
      </c>
      <c r="AO99" s="716" t="n">
        <f aca="false">AO98+1</f>
        <v>97</v>
      </c>
      <c r="AP99" s="722" t="s">
        <v>3607</v>
      </c>
      <c r="AQ99" s="723" t="n">
        <v>9</v>
      </c>
      <c r="AR99" s="723" t="n">
        <v>4</v>
      </c>
      <c r="AS99" s="723" t="s">
        <v>3507</v>
      </c>
      <c r="AT99" s="723" t="s">
        <v>2754</v>
      </c>
      <c r="AU99" s="723" t="s">
        <v>2946</v>
      </c>
      <c r="AV99" s="724" t="s">
        <v>3608</v>
      </c>
      <c r="AW99" s="723" t="s">
        <v>2982</v>
      </c>
      <c r="AX99" s="725" t="s">
        <v>3609</v>
      </c>
    </row>
    <row r="100" customFormat="false" ht="12.75" hidden="false" customHeight="false" outlineLevel="0" collapsed="false">
      <c r="A100" s="706" t="n">
        <f aca="false">A99+1</f>
        <v>98</v>
      </c>
      <c r="B100" s="711" t="s">
        <v>3610</v>
      </c>
      <c r="C100" s="708" t="n">
        <v>8</v>
      </c>
      <c r="D100" s="708" t="n">
        <v>2</v>
      </c>
      <c r="E100" s="708" t="s">
        <v>3318</v>
      </c>
      <c r="F100" s="708" t="s">
        <v>2718</v>
      </c>
      <c r="G100" s="708" t="s">
        <v>2802</v>
      </c>
      <c r="H100" s="709" t="s">
        <v>2731</v>
      </c>
      <c r="I100" s="708" t="s">
        <v>2751</v>
      </c>
      <c r="J100" s="712" t="s">
        <v>2741</v>
      </c>
      <c r="K100" s="706" t="n">
        <f aca="false">K99+1</f>
        <v>98</v>
      </c>
      <c r="L100" s="711" t="s">
        <v>3611</v>
      </c>
      <c r="M100" s="708" t="n">
        <v>9</v>
      </c>
      <c r="N100" s="708" t="n">
        <v>5</v>
      </c>
      <c r="O100" s="708" t="s">
        <v>3286</v>
      </c>
      <c r="P100" s="708" t="s">
        <v>2718</v>
      </c>
      <c r="Q100" s="708" t="s">
        <v>2719</v>
      </c>
      <c r="R100" s="709" t="s">
        <v>3612</v>
      </c>
      <c r="S100" s="708" t="s">
        <v>2995</v>
      </c>
      <c r="T100" s="712" t="s">
        <v>3567</v>
      </c>
      <c r="U100" s="706" t="n">
        <f aca="false">U99+1</f>
        <v>98</v>
      </c>
      <c r="V100" s="713" t="s">
        <v>3613</v>
      </c>
      <c r="W100" s="714" t="n">
        <v>8</v>
      </c>
      <c r="X100" s="714" t="n">
        <v>4</v>
      </c>
      <c r="Y100" s="715" t="s">
        <v>3117</v>
      </c>
      <c r="Z100" s="714" t="s">
        <v>2754</v>
      </c>
      <c r="AA100" s="714" t="s">
        <v>2794</v>
      </c>
      <c r="AB100" s="714" t="s">
        <v>2772</v>
      </c>
      <c r="AC100" s="714" t="s">
        <v>2995</v>
      </c>
      <c r="AD100" s="712" t="s">
        <v>2879</v>
      </c>
      <c r="AE100" s="716" t="n">
        <f aca="false">AE99+1</f>
        <v>98</v>
      </c>
      <c r="AF100" s="720" t="s">
        <v>3589</v>
      </c>
      <c r="AG100" s="714" t="n">
        <v>9</v>
      </c>
      <c r="AH100" s="714" t="n">
        <v>6</v>
      </c>
      <c r="AI100" s="715" t="s">
        <v>3590</v>
      </c>
      <c r="AJ100" s="714" t="s">
        <v>2718</v>
      </c>
      <c r="AK100" s="714" t="s">
        <v>2719</v>
      </c>
      <c r="AL100" s="714" t="s">
        <v>262</v>
      </c>
      <c r="AM100" s="714" t="s">
        <v>2732</v>
      </c>
      <c r="AN100" s="712" t="s">
        <v>3591</v>
      </c>
      <c r="AO100" s="716" t="n">
        <f aca="false">AO99+1</f>
        <v>98</v>
      </c>
      <c r="AP100" s="713" t="s">
        <v>3614</v>
      </c>
      <c r="AQ100" s="714" t="n">
        <v>10</v>
      </c>
      <c r="AR100" s="714" t="n">
        <v>3</v>
      </c>
      <c r="AS100" s="715" t="s">
        <v>3528</v>
      </c>
      <c r="AT100" s="714" t="s">
        <v>2754</v>
      </c>
      <c r="AU100" s="714" t="s">
        <v>2866</v>
      </c>
      <c r="AV100" s="714" t="s">
        <v>3202</v>
      </c>
      <c r="AW100" s="714" t="s">
        <v>2732</v>
      </c>
      <c r="AX100" s="712" t="s">
        <v>3602</v>
      </c>
    </row>
    <row r="101" customFormat="false" ht="12.75" hidden="false" customHeight="false" outlineLevel="0" collapsed="false">
      <c r="A101" s="706" t="n">
        <f aca="false">A100+1</f>
        <v>99</v>
      </c>
      <c r="B101" s="711" t="s">
        <v>3615</v>
      </c>
      <c r="C101" s="708" t="n">
        <v>8</v>
      </c>
      <c r="D101" s="708" t="n">
        <v>3</v>
      </c>
      <c r="E101" s="708" t="s">
        <v>3356</v>
      </c>
      <c r="F101" s="708" t="s">
        <v>2754</v>
      </c>
      <c r="G101" s="708" t="s">
        <v>2823</v>
      </c>
      <c r="H101" s="709" t="s">
        <v>3616</v>
      </c>
      <c r="I101" s="708" t="s">
        <v>2982</v>
      </c>
      <c r="J101" s="712" t="s">
        <v>2942</v>
      </c>
      <c r="K101" s="706" t="n">
        <f aca="false">K100+1</f>
        <v>99</v>
      </c>
      <c r="L101" s="711" t="s">
        <v>3617</v>
      </c>
      <c r="M101" s="708" t="n">
        <v>9</v>
      </c>
      <c r="N101" s="708" t="n">
        <v>5</v>
      </c>
      <c r="O101" s="708" t="s">
        <v>3318</v>
      </c>
      <c r="P101" s="708" t="s">
        <v>2754</v>
      </c>
      <c r="Q101" s="708" t="s">
        <v>3115</v>
      </c>
      <c r="R101" s="709" t="s">
        <v>3202</v>
      </c>
      <c r="S101" s="708" t="s">
        <v>2982</v>
      </c>
      <c r="T101" s="712" t="s">
        <v>3579</v>
      </c>
      <c r="U101" s="706" t="n">
        <f aca="false">U100+1</f>
        <v>99</v>
      </c>
      <c r="V101" s="713" t="s">
        <v>3618</v>
      </c>
      <c r="W101" s="714" t="n">
        <v>8</v>
      </c>
      <c r="X101" s="714" t="n">
        <v>4</v>
      </c>
      <c r="Y101" s="715" t="s">
        <v>3517</v>
      </c>
      <c r="Z101" s="714" t="s">
        <v>2718</v>
      </c>
      <c r="AA101" s="714" t="s">
        <v>2719</v>
      </c>
      <c r="AB101" s="714" t="s">
        <v>2750</v>
      </c>
      <c r="AC101" s="714" t="s">
        <v>2958</v>
      </c>
      <c r="AD101" s="712" t="s">
        <v>2962</v>
      </c>
      <c r="AE101" s="716" t="n">
        <f aca="false">AE100+1</f>
        <v>99</v>
      </c>
      <c r="AF101" s="720" t="s">
        <v>3594</v>
      </c>
      <c r="AG101" s="714" t="n">
        <v>9</v>
      </c>
      <c r="AH101" s="714" t="n">
        <v>3</v>
      </c>
      <c r="AI101" s="715" t="s">
        <v>3429</v>
      </c>
      <c r="AJ101" s="714" t="s">
        <v>2718</v>
      </c>
      <c r="AK101" s="714" t="s">
        <v>2719</v>
      </c>
      <c r="AL101" s="714" t="s">
        <v>3595</v>
      </c>
      <c r="AM101" s="714" t="s">
        <v>2921</v>
      </c>
      <c r="AN101" s="712" t="s">
        <v>3596</v>
      </c>
      <c r="AO101" s="716" t="n">
        <f aca="false">AO100+1</f>
        <v>99</v>
      </c>
      <c r="AP101" s="720" t="s">
        <v>3619</v>
      </c>
      <c r="AQ101" s="714" t="n">
        <v>10</v>
      </c>
      <c r="AR101" s="714" t="n">
        <v>3</v>
      </c>
      <c r="AS101" s="715" t="s">
        <v>3571</v>
      </c>
      <c r="AT101" s="714" t="s">
        <v>2754</v>
      </c>
      <c r="AU101" s="714" t="s">
        <v>2719</v>
      </c>
      <c r="AV101" s="714" t="s">
        <v>3202</v>
      </c>
      <c r="AW101" s="714" t="s">
        <v>3620</v>
      </c>
      <c r="AX101" s="712" t="s">
        <v>3602</v>
      </c>
    </row>
    <row r="102" customFormat="false" ht="12.75" hidden="false" customHeight="false" outlineLevel="0" collapsed="false">
      <c r="A102" s="706" t="n">
        <f aca="false">A101+1</f>
        <v>100</v>
      </c>
      <c r="B102" s="711" t="s">
        <v>3621</v>
      </c>
      <c r="C102" s="708" t="n">
        <v>8</v>
      </c>
      <c r="D102" s="708" t="n">
        <v>3</v>
      </c>
      <c r="E102" s="708" t="s">
        <v>3063</v>
      </c>
      <c r="F102" s="708" t="n">
        <v>6</v>
      </c>
      <c r="G102" s="708" t="s">
        <v>2719</v>
      </c>
      <c r="H102" s="709" t="s">
        <v>3622</v>
      </c>
      <c r="I102" s="708" t="s">
        <v>2902</v>
      </c>
      <c r="J102" s="712" t="s">
        <v>2833</v>
      </c>
      <c r="K102" s="706" t="n">
        <f aca="false">K101+1</f>
        <v>100</v>
      </c>
      <c r="L102" s="711" t="s">
        <v>3623</v>
      </c>
      <c r="M102" s="708" t="n">
        <v>9</v>
      </c>
      <c r="N102" s="708" t="n">
        <v>4</v>
      </c>
      <c r="O102" s="708" t="s">
        <v>3624</v>
      </c>
      <c r="P102" s="708" t="s">
        <v>2718</v>
      </c>
      <c r="Q102" s="708" t="s">
        <v>2719</v>
      </c>
      <c r="R102" s="709" t="s">
        <v>3612</v>
      </c>
      <c r="S102" s="708" t="s">
        <v>2836</v>
      </c>
      <c r="T102" s="712" t="s">
        <v>3625</v>
      </c>
      <c r="U102" s="706" t="n">
        <f aca="false">U101+1</f>
        <v>100</v>
      </c>
      <c r="V102" s="713" t="s">
        <v>3626</v>
      </c>
      <c r="W102" s="714" t="n">
        <v>8</v>
      </c>
      <c r="X102" s="714" t="n">
        <v>4</v>
      </c>
      <c r="Y102" s="715" t="s">
        <v>3318</v>
      </c>
      <c r="Z102" s="714" t="n">
        <v>7</v>
      </c>
      <c r="AA102" s="714" t="s">
        <v>2719</v>
      </c>
      <c r="AB102" s="714" t="s">
        <v>3627</v>
      </c>
      <c r="AC102" s="714" t="s">
        <v>2785</v>
      </c>
      <c r="AD102" s="712" t="s">
        <v>2962</v>
      </c>
      <c r="AE102" s="716" t="n">
        <f aca="false">AE101+1</f>
        <v>100</v>
      </c>
      <c r="AF102" s="720" t="s">
        <v>3628</v>
      </c>
      <c r="AG102" s="714" t="n">
        <v>9</v>
      </c>
      <c r="AH102" s="714" t="s">
        <v>2572</v>
      </c>
      <c r="AI102" s="715" t="s">
        <v>3346</v>
      </c>
      <c r="AJ102" s="714" t="s">
        <v>2718</v>
      </c>
      <c r="AK102" s="714" t="s">
        <v>2744</v>
      </c>
      <c r="AL102" s="714" t="s">
        <v>3287</v>
      </c>
      <c r="AM102" s="714" t="s">
        <v>2732</v>
      </c>
      <c r="AN102" s="712" t="s">
        <v>3609</v>
      </c>
      <c r="AO102" s="716" t="n">
        <f aca="false">AO101+1</f>
        <v>100</v>
      </c>
      <c r="AP102" s="711" t="s">
        <v>3629</v>
      </c>
      <c r="AQ102" s="708" t="n">
        <v>10</v>
      </c>
      <c r="AR102" s="708" t="n">
        <v>6</v>
      </c>
      <c r="AS102" s="708" t="s">
        <v>3624</v>
      </c>
      <c r="AT102" s="708" t="n">
        <v>6</v>
      </c>
      <c r="AU102" s="708" t="s">
        <v>3630</v>
      </c>
      <c r="AV102" s="709" t="s">
        <v>2858</v>
      </c>
      <c r="AW102" s="708" t="s">
        <v>3080</v>
      </c>
      <c r="AX102" s="712" t="s">
        <v>3631</v>
      </c>
    </row>
    <row r="103" customFormat="false" ht="12.75" hidden="false" customHeight="false" outlineLevel="0" collapsed="false">
      <c r="A103" s="706" t="n">
        <f aca="false">A102+1</f>
        <v>101</v>
      </c>
      <c r="B103" s="711" t="s">
        <v>3632</v>
      </c>
      <c r="C103" s="708" t="n">
        <v>8</v>
      </c>
      <c r="D103" s="708" t="n">
        <v>3</v>
      </c>
      <c r="E103" s="708" t="s">
        <v>3138</v>
      </c>
      <c r="F103" s="708" t="s">
        <v>2718</v>
      </c>
      <c r="G103" s="708" t="s">
        <v>2719</v>
      </c>
      <c r="H103" s="709" t="s">
        <v>2759</v>
      </c>
      <c r="I103" s="708" t="s">
        <v>2982</v>
      </c>
      <c r="J103" s="712" t="s">
        <v>2989</v>
      </c>
      <c r="K103" s="706" t="n">
        <f aca="false">K102+1</f>
        <v>101</v>
      </c>
      <c r="L103" s="711" t="s">
        <v>3633</v>
      </c>
      <c r="M103" s="708" t="n">
        <v>9</v>
      </c>
      <c r="N103" s="708" t="n">
        <v>5</v>
      </c>
      <c r="O103" s="708" t="s">
        <v>3624</v>
      </c>
      <c r="P103" s="708" t="s">
        <v>2754</v>
      </c>
      <c r="Q103" s="708" t="s">
        <v>2823</v>
      </c>
      <c r="R103" s="709" t="s">
        <v>3154</v>
      </c>
      <c r="S103" s="708" t="s">
        <v>3035</v>
      </c>
      <c r="T103" s="712" t="s">
        <v>3634</v>
      </c>
      <c r="U103" s="706" t="n">
        <f aca="false">U102+1</f>
        <v>101</v>
      </c>
      <c r="V103" s="713" t="s">
        <v>3544</v>
      </c>
      <c r="W103" s="714" t="n">
        <v>8</v>
      </c>
      <c r="X103" s="714" t="n">
        <v>5</v>
      </c>
      <c r="Y103" s="715" t="s">
        <v>3295</v>
      </c>
      <c r="Z103" s="714" t="s">
        <v>2718</v>
      </c>
      <c r="AA103" s="714" t="s">
        <v>2719</v>
      </c>
      <c r="AB103" s="714" t="s">
        <v>262</v>
      </c>
      <c r="AC103" s="714" t="s">
        <v>3482</v>
      </c>
      <c r="AD103" s="712" t="s">
        <v>3142</v>
      </c>
      <c r="AE103" s="716" t="n">
        <f aca="false">AE102+1</f>
        <v>101</v>
      </c>
      <c r="AF103" s="717" t="s">
        <v>3619</v>
      </c>
      <c r="AG103" s="718" t="n">
        <v>10</v>
      </c>
      <c r="AH103" s="718" t="n">
        <v>3</v>
      </c>
      <c r="AI103" s="719" t="s">
        <v>3571</v>
      </c>
      <c r="AJ103" s="718" t="s">
        <v>2754</v>
      </c>
      <c r="AK103" s="718" t="s">
        <v>2719</v>
      </c>
      <c r="AL103" s="718" t="s">
        <v>3202</v>
      </c>
      <c r="AM103" s="718" t="s">
        <v>3620</v>
      </c>
      <c r="AN103" s="710" t="s">
        <v>3602</v>
      </c>
      <c r="AO103" s="716" t="n">
        <f aca="false">AO102+1</f>
        <v>101</v>
      </c>
      <c r="AP103" s="711" t="s">
        <v>3635</v>
      </c>
      <c r="AQ103" s="708" t="n">
        <v>10</v>
      </c>
      <c r="AR103" s="708" t="n">
        <v>5</v>
      </c>
      <c r="AS103" s="708" t="s">
        <v>3636</v>
      </c>
      <c r="AT103" s="708" t="n">
        <v>6</v>
      </c>
      <c r="AU103" s="708" t="s">
        <v>3630</v>
      </c>
      <c r="AV103" s="709" t="s">
        <v>2858</v>
      </c>
      <c r="AW103" s="708" t="s">
        <v>3080</v>
      </c>
      <c r="AX103" s="712" t="s">
        <v>3637</v>
      </c>
    </row>
    <row r="104" customFormat="false" ht="12.75" hidden="false" customHeight="false" outlineLevel="0" collapsed="false">
      <c r="A104" s="706" t="n">
        <f aca="false">A103+1</f>
        <v>102</v>
      </c>
      <c r="B104" s="711" t="s">
        <v>3638</v>
      </c>
      <c r="C104" s="708" t="n">
        <v>8</v>
      </c>
      <c r="D104" s="708" t="n">
        <v>3</v>
      </c>
      <c r="E104" s="708" t="s">
        <v>3395</v>
      </c>
      <c r="F104" s="708" t="s">
        <v>2718</v>
      </c>
      <c r="G104" s="708" t="s">
        <v>2891</v>
      </c>
      <c r="H104" s="709" t="s">
        <v>2967</v>
      </c>
      <c r="I104" s="708" t="s">
        <v>2982</v>
      </c>
      <c r="J104" s="712" t="s">
        <v>2868</v>
      </c>
      <c r="K104" s="706" t="n">
        <f aca="false">K103+1</f>
        <v>102</v>
      </c>
      <c r="L104" s="711" t="s">
        <v>3639</v>
      </c>
      <c r="M104" s="708" t="n">
        <v>9</v>
      </c>
      <c r="N104" s="708" t="n">
        <v>3</v>
      </c>
      <c r="O104" s="708" t="s">
        <v>3624</v>
      </c>
      <c r="P104" s="708" t="n">
        <v>6</v>
      </c>
      <c r="Q104" s="708" t="s">
        <v>3640</v>
      </c>
      <c r="R104" s="709" t="s">
        <v>3154</v>
      </c>
      <c r="S104" s="708" t="s">
        <v>2821</v>
      </c>
      <c r="T104" s="712" t="s">
        <v>3596</v>
      </c>
      <c r="U104" s="706" t="n">
        <f aca="false">U103+1</f>
        <v>102</v>
      </c>
      <c r="V104" s="721" t="s">
        <v>3641</v>
      </c>
      <c r="W104" s="718" t="n">
        <v>9</v>
      </c>
      <c r="X104" s="718" t="s">
        <v>3642</v>
      </c>
      <c r="Y104" s="719" t="s">
        <v>3643</v>
      </c>
      <c r="Z104" s="718" t="s">
        <v>2718</v>
      </c>
      <c r="AA104" s="718" t="s">
        <v>2719</v>
      </c>
      <c r="AB104" s="718" t="s">
        <v>3644</v>
      </c>
      <c r="AC104" s="718" t="s">
        <v>3645</v>
      </c>
      <c r="AD104" s="710" t="s">
        <v>3646</v>
      </c>
      <c r="AE104" s="716" t="n">
        <f aca="false">AE103+1</f>
        <v>102</v>
      </c>
      <c r="AF104" s="720" t="s">
        <v>3647</v>
      </c>
      <c r="AG104" s="714" t="n">
        <v>10</v>
      </c>
      <c r="AH104" s="714" t="n">
        <v>4</v>
      </c>
      <c r="AI104" s="715" t="s">
        <v>3648</v>
      </c>
      <c r="AJ104" s="714" t="s">
        <v>2718</v>
      </c>
      <c r="AK104" s="714" t="s">
        <v>2719</v>
      </c>
      <c r="AL104" s="714" t="s">
        <v>3385</v>
      </c>
      <c r="AM104" s="714" t="s">
        <v>2732</v>
      </c>
      <c r="AN104" s="712" t="s">
        <v>3588</v>
      </c>
      <c r="AO104" s="716" t="n">
        <f aca="false">AO103+1</f>
        <v>102</v>
      </c>
      <c r="AP104" s="720" t="s">
        <v>3649</v>
      </c>
      <c r="AQ104" s="714" t="n">
        <v>10</v>
      </c>
      <c r="AR104" s="714" t="s">
        <v>3650</v>
      </c>
      <c r="AS104" s="715" t="s">
        <v>3586</v>
      </c>
      <c r="AT104" s="714" t="s">
        <v>2754</v>
      </c>
      <c r="AU104" s="714" t="s">
        <v>2719</v>
      </c>
      <c r="AV104" s="714" t="s">
        <v>3385</v>
      </c>
      <c r="AW104" s="714" t="s">
        <v>3080</v>
      </c>
      <c r="AX104" s="712" t="s">
        <v>3567</v>
      </c>
    </row>
    <row r="105" customFormat="false" ht="12.75" hidden="false" customHeight="false" outlineLevel="0" collapsed="false">
      <c r="A105" s="706" t="n">
        <f aca="false">A104+1</f>
        <v>103</v>
      </c>
      <c r="B105" s="711" t="s">
        <v>3536</v>
      </c>
      <c r="C105" s="708" t="n">
        <v>8</v>
      </c>
      <c r="D105" s="708" t="n">
        <v>2</v>
      </c>
      <c r="E105" s="708" t="s">
        <v>3318</v>
      </c>
      <c r="F105" s="708" t="s">
        <v>2718</v>
      </c>
      <c r="G105" s="708" t="s">
        <v>3452</v>
      </c>
      <c r="H105" s="709" t="s">
        <v>3385</v>
      </c>
      <c r="I105" s="708" t="s">
        <v>2777</v>
      </c>
      <c r="J105" s="712" t="s">
        <v>2885</v>
      </c>
      <c r="K105" s="706" t="n">
        <f aca="false">K104+1</f>
        <v>103</v>
      </c>
      <c r="L105" s="707" t="s">
        <v>3651</v>
      </c>
      <c r="M105" s="213" t="n">
        <v>10</v>
      </c>
      <c r="N105" s="213" t="n">
        <v>5</v>
      </c>
      <c r="O105" s="213" t="s">
        <v>3652</v>
      </c>
      <c r="P105" s="213" t="s">
        <v>2718</v>
      </c>
      <c r="Q105" s="213" t="s">
        <v>2823</v>
      </c>
      <c r="R105" s="212" t="s">
        <v>3653</v>
      </c>
      <c r="S105" s="213" t="s">
        <v>2757</v>
      </c>
      <c r="T105" s="710" t="s">
        <v>3564</v>
      </c>
      <c r="U105" s="706" t="n">
        <f aca="false">U104+1</f>
        <v>103</v>
      </c>
      <c r="V105" s="713" t="s">
        <v>3654</v>
      </c>
      <c r="W105" s="714" t="n">
        <v>9</v>
      </c>
      <c r="X105" s="714" t="n">
        <v>6</v>
      </c>
      <c r="Y105" s="715" t="s">
        <v>3655</v>
      </c>
      <c r="Z105" s="714" t="s">
        <v>2718</v>
      </c>
      <c r="AA105" s="714" t="s">
        <v>2719</v>
      </c>
      <c r="AB105" s="714" t="s">
        <v>2858</v>
      </c>
      <c r="AC105" s="714" t="s">
        <v>3080</v>
      </c>
      <c r="AD105" s="712" t="s">
        <v>3602</v>
      </c>
      <c r="AE105" s="716" t="n">
        <f aca="false">AE104+1</f>
        <v>103</v>
      </c>
      <c r="AF105" s="720" t="s">
        <v>3656</v>
      </c>
      <c r="AG105" s="714" t="n">
        <v>10</v>
      </c>
      <c r="AH105" s="714" t="n">
        <v>6</v>
      </c>
      <c r="AI105" s="715" t="s">
        <v>3657</v>
      </c>
      <c r="AJ105" s="714" t="n">
        <v>6</v>
      </c>
      <c r="AK105" s="714" t="s">
        <v>2719</v>
      </c>
      <c r="AL105" s="714" t="s">
        <v>2858</v>
      </c>
      <c r="AM105" s="714" t="s">
        <v>3080</v>
      </c>
      <c r="AN105" s="712" t="s">
        <v>3567</v>
      </c>
      <c r="AO105" s="716" t="n">
        <f aca="false">AO104+1</f>
        <v>103</v>
      </c>
      <c r="AP105" s="720" t="s">
        <v>3658</v>
      </c>
      <c r="AQ105" s="714" t="n">
        <v>10</v>
      </c>
      <c r="AR105" s="714" t="n">
        <v>4</v>
      </c>
      <c r="AS105" s="715" t="s">
        <v>3604</v>
      </c>
      <c r="AT105" s="714" t="s">
        <v>2718</v>
      </c>
      <c r="AU105" s="714" t="s">
        <v>2866</v>
      </c>
      <c r="AV105" s="714" t="s">
        <v>2731</v>
      </c>
      <c r="AW105" s="714" t="s">
        <v>3001</v>
      </c>
      <c r="AX105" s="712" t="s">
        <v>3591</v>
      </c>
    </row>
    <row r="106" customFormat="false" ht="12.75" hidden="false" customHeight="false" outlineLevel="0" collapsed="false">
      <c r="A106" s="706" t="n">
        <f aca="false">A105+1</f>
        <v>104</v>
      </c>
      <c r="B106" s="707" t="s">
        <v>3659</v>
      </c>
      <c r="C106" s="213" t="n">
        <v>9</v>
      </c>
      <c r="D106" s="213" t="n">
        <v>5</v>
      </c>
      <c r="E106" s="213" t="s">
        <v>3660</v>
      </c>
      <c r="F106" s="213" t="n">
        <v>6</v>
      </c>
      <c r="G106" s="213" t="s">
        <v>2823</v>
      </c>
      <c r="H106" s="212" t="s">
        <v>3661</v>
      </c>
      <c r="I106" s="213" t="s">
        <v>2757</v>
      </c>
      <c r="J106" s="710" t="s">
        <v>3662</v>
      </c>
      <c r="K106" s="706" t="n">
        <f aca="false">K105+1</f>
        <v>104</v>
      </c>
      <c r="L106" s="711" t="s">
        <v>3663</v>
      </c>
      <c r="M106" s="708" t="n">
        <v>10</v>
      </c>
      <c r="N106" s="708" t="n">
        <v>4</v>
      </c>
      <c r="O106" s="708" t="s">
        <v>3475</v>
      </c>
      <c r="P106" s="708" t="s">
        <v>2718</v>
      </c>
      <c r="Q106" s="708" t="s">
        <v>2736</v>
      </c>
      <c r="R106" s="709" t="s">
        <v>3612</v>
      </c>
      <c r="S106" s="708" t="s">
        <v>3535</v>
      </c>
      <c r="T106" s="712" t="s">
        <v>3664</v>
      </c>
      <c r="U106" s="706" t="n">
        <f aca="false">U105+1</f>
        <v>104</v>
      </c>
      <c r="V106" s="713" t="s">
        <v>3665</v>
      </c>
      <c r="W106" s="714" t="n">
        <v>9</v>
      </c>
      <c r="X106" s="714" t="n">
        <v>2</v>
      </c>
      <c r="Y106" s="715" t="s">
        <v>3395</v>
      </c>
      <c r="Z106" s="714" t="s">
        <v>2754</v>
      </c>
      <c r="AA106" s="714" t="s">
        <v>2744</v>
      </c>
      <c r="AB106" s="714" t="s">
        <v>262</v>
      </c>
      <c r="AC106" s="714" t="s">
        <v>2732</v>
      </c>
      <c r="AD106" s="712" t="s">
        <v>3602</v>
      </c>
      <c r="AE106" s="716" t="n">
        <f aca="false">AE105+1</f>
        <v>104</v>
      </c>
      <c r="AF106" s="720" t="s">
        <v>3649</v>
      </c>
      <c r="AG106" s="714" t="n">
        <v>10</v>
      </c>
      <c r="AH106" s="714" t="s">
        <v>3650</v>
      </c>
      <c r="AI106" s="715" t="s">
        <v>3586</v>
      </c>
      <c r="AJ106" s="714" t="s">
        <v>2754</v>
      </c>
      <c r="AK106" s="714" t="s">
        <v>2719</v>
      </c>
      <c r="AL106" s="714" t="s">
        <v>3385</v>
      </c>
      <c r="AM106" s="714" t="s">
        <v>3080</v>
      </c>
      <c r="AN106" s="712" t="s">
        <v>3567</v>
      </c>
      <c r="AO106" s="716" t="n">
        <f aca="false">AO105+1</f>
        <v>104</v>
      </c>
      <c r="AP106" s="722" t="s">
        <v>3666</v>
      </c>
      <c r="AQ106" s="723" t="n">
        <v>10</v>
      </c>
      <c r="AR106" s="723" t="n">
        <v>5</v>
      </c>
      <c r="AS106" s="723" t="s">
        <v>3138</v>
      </c>
      <c r="AT106" s="723" t="n">
        <v>6</v>
      </c>
      <c r="AU106" s="723" t="s">
        <v>3667</v>
      </c>
      <c r="AV106" s="724" t="s">
        <v>2858</v>
      </c>
      <c r="AW106" s="723" t="s">
        <v>3668</v>
      </c>
      <c r="AX106" s="725" t="s">
        <v>3609</v>
      </c>
    </row>
    <row r="107" customFormat="false" ht="12.75" hidden="false" customHeight="false" outlineLevel="0" collapsed="false">
      <c r="A107" s="706" t="n">
        <f aca="false">A106+1</f>
        <v>105</v>
      </c>
      <c r="B107" s="711" t="s">
        <v>3556</v>
      </c>
      <c r="C107" s="708" t="n">
        <v>9</v>
      </c>
      <c r="D107" s="708" t="n">
        <v>3</v>
      </c>
      <c r="E107" s="708" t="s">
        <v>3557</v>
      </c>
      <c r="F107" s="708" t="s">
        <v>3451</v>
      </c>
      <c r="G107" s="708" t="s">
        <v>3452</v>
      </c>
      <c r="H107" s="709" t="s">
        <v>2858</v>
      </c>
      <c r="I107" s="708" t="s">
        <v>2982</v>
      </c>
      <c r="J107" s="712" t="s">
        <v>3558</v>
      </c>
      <c r="K107" s="706" t="n">
        <f aca="false">K106+1</f>
        <v>105</v>
      </c>
      <c r="L107" s="711" t="s">
        <v>3629</v>
      </c>
      <c r="M107" s="708" t="n">
        <v>10</v>
      </c>
      <c r="N107" s="708" t="n">
        <v>6</v>
      </c>
      <c r="O107" s="708" t="s">
        <v>3624</v>
      </c>
      <c r="P107" s="708" t="n">
        <v>6</v>
      </c>
      <c r="Q107" s="708" t="s">
        <v>3630</v>
      </c>
      <c r="R107" s="709" t="s">
        <v>2858</v>
      </c>
      <c r="S107" s="708" t="s">
        <v>3080</v>
      </c>
      <c r="T107" s="712" t="s">
        <v>3631</v>
      </c>
      <c r="U107" s="706" t="n">
        <f aca="false">U106+1</f>
        <v>105</v>
      </c>
      <c r="V107" s="713" t="s">
        <v>3669</v>
      </c>
      <c r="W107" s="714" t="n">
        <v>9</v>
      </c>
      <c r="X107" s="714" t="n">
        <v>3</v>
      </c>
      <c r="Y107" s="715" t="s">
        <v>3670</v>
      </c>
      <c r="Z107" s="714" t="s">
        <v>2754</v>
      </c>
      <c r="AA107" s="714" t="s">
        <v>2719</v>
      </c>
      <c r="AB107" s="714" t="s">
        <v>3202</v>
      </c>
      <c r="AC107" s="714" t="s">
        <v>2982</v>
      </c>
      <c r="AD107" s="712" t="s">
        <v>3579</v>
      </c>
      <c r="AE107" s="716" t="n">
        <f aca="false">AE106+1</f>
        <v>105</v>
      </c>
      <c r="AF107" s="720" t="s">
        <v>3658</v>
      </c>
      <c r="AG107" s="714" t="n">
        <v>10</v>
      </c>
      <c r="AH107" s="714" t="n">
        <v>4</v>
      </c>
      <c r="AI107" s="715" t="s">
        <v>3604</v>
      </c>
      <c r="AJ107" s="714" t="s">
        <v>2718</v>
      </c>
      <c r="AK107" s="714" t="s">
        <v>2866</v>
      </c>
      <c r="AL107" s="714" t="s">
        <v>2731</v>
      </c>
      <c r="AM107" s="714" t="s">
        <v>3001</v>
      </c>
      <c r="AN107" s="712" t="s">
        <v>3591</v>
      </c>
      <c r="AO107" s="716" t="n">
        <f aca="false">AO106+1</f>
        <v>105</v>
      </c>
      <c r="AP107" s="147" t="s">
        <v>3671</v>
      </c>
      <c r="AQ107" s="220" t="n">
        <v>11</v>
      </c>
      <c r="AR107" s="220" t="n">
        <v>4</v>
      </c>
      <c r="AS107" s="220" t="s">
        <v>3672</v>
      </c>
      <c r="AT107" s="220" t="n">
        <v>6</v>
      </c>
      <c r="AU107" s="220" t="s">
        <v>2719</v>
      </c>
      <c r="AV107" s="69" t="s">
        <v>3572</v>
      </c>
      <c r="AW107" s="220" t="s">
        <v>3673</v>
      </c>
      <c r="AX107" s="733" t="s">
        <v>3609</v>
      </c>
    </row>
    <row r="108" customFormat="false" ht="12.75" hidden="false" customHeight="false" outlineLevel="0" collapsed="false">
      <c r="A108" s="706" t="n">
        <f aca="false">A107+1</f>
        <v>106</v>
      </c>
      <c r="B108" s="711" t="s">
        <v>3674</v>
      </c>
      <c r="C108" s="708" t="n">
        <v>9</v>
      </c>
      <c r="D108" s="708" t="n">
        <v>4</v>
      </c>
      <c r="E108" s="708" t="s">
        <v>3675</v>
      </c>
      <c r="F108" s="708" t="n">
        <v>6</v>
      </c>
      <c r="G108" s="708" t="s">
        <v>2866</v>
      </c>
      <c r="H108" s="709" t="s">
        <v>3676</v>
      </c>
      <c r="I108" s="708" t="s">
        <v>2777</v>
      </c>
      <c r="J108" s="712" t="s">
        <v>3646</v>
      </c>
      <c r="K108" s="706" t="n">
        <f aca="false">K107+1</f>
        <v>106</v>
      </c>
      <c r="L108" s="711" t="s">
        <v>3635</v>
      </c>
      <c r="M108" s="708" t="n">
        <v>10</v>
      </c>
      <c r="N108" s="708" t="n">
        <v>5</v>
      </c>
      <c r="O108" s="708" t="s">
        <v>3636</v>
      </c>
      <c r="P108" s="708" t="n">
        <v>6</v>
      </c>
      <c r="Q108" s="708" t="s">
        <v>3630</v>
      </c>
      <c r="R108" s="709" t="s">
        <v>2858</v>
      </c>
      <c r="S108" s="708" t="s">
        <v>3080</v>
      </c>
      <c r="T108" s="712" t="s">
        <v>3637</v>
      </c>
      <c r="U108" s="706" t="n">
        <f aca="false">U107+1</f>
        <v>106</v>
      </c>
      <c r="V108" s="713" t="s">
        <v>3677</v>
      </c>
      <c r="W108" s="714" t="n">
        <v>9</v>
      </c>
      <c r="X108" s="714" t="n">
        <v>2</v>
      </c>
      <c r="Y108" s="715" t="s">
        <v>3678</v>
      </c>
      <c r="Z108" s="714" t="s">
        <v>2718</v>
      </c>
      <c r="AA108" s="714" t="s">
        <v>2719</v>
      </c>
      <c r="AB108" s="714" t="s">
        <v>2750</v>
      </c>
      <c r="AC108" s="714" t="s">
        <v>3071</v>
      </c>
      <c r="AD108" s="712" t="s">
        <v>3634</v>
      </c>
      <c r="AE108" s="716" t="n">
        <f aca="false">AE107+1</f>
        <v>106</v>
      </c>
      <c r="AF108" s="720" t="s">
        <v>3679</v>
      </c>
      <c r="AG108" s="714" t="n">
        <v>10</v>
      </c>
      <c r="AH108" s="714" t="n">
        <v>4</v>
      </c>
      <c r="AI108" s="715" t="s">
        <v>3648</v>
      </c>
      <c r="AJ108" s="714" t="s">
        <v>3680</v>
      </c>
      <c r="AK108" s="714" t="s">
        <v>2891</v>
      </c>
      <c r="AL108" s="714" t="s">
        <v>2967</v>
      </c>
      <c r="AM108" s="714" t="s">
        <v>3492</v>
      </c>
      <c r="AN108" s="712" t="s">
        <v>3634</v>
      </c>
      <c r="AO108" s="716" t="n">
        <f aca="false">AO107+1</f>
        <v>106</v>
      </c>
      <c r="AP108" s="717" t="s">
        <v>3681</v>
      </c>
      <c r="AQ108" s="718" t="n">
        <v>12</v>
      </c>
      <c r="AR108" s="718" t="s">
        <v>3480</v>
      </c>
      <c r="AS108" s="719" t="s">
        <v>3648</v>
      </c>
      <c r="AT108" s="718" t="s">
        <v>2754</v>
      </c>
      <c r="AU108" s="718" t="s">
        <v>3682</v>
      </c>
      <c r="AV108" s="718" t="s">
        <v>3683</v>
      </c>
      <c r="AW108" s="718" t="s">
        <v>2732</v>
      </c>
      <c r="AX108" s="710" t="s">
        <v>3564</v>
      </c>
    </row>
    <row r="109" customFormat="false" ht="12.75" hidden="false" customHeight="false" outlineLevel="0" collapsed="false">
      <c r="A109" s="706" t="n">
        <f aca="false">A108+1</f>
        <v>107</v>
      </c>
      <c r="B109" s="711" t="s">
        <v>3684</v>
      </c>
      <c r="C109" s="708" t="n">
        <v>9</v>
      </c>
      <c r="D109" s="708" t="n">
        <v>3</v>
      </c>
      <c r="E109" s="708" t="s">
        <v>3557</v>
      </c>
      <c r="F109" s="708" t="s">
        <v>2754</v>
      </c>
      <c r="G109" s="708" t="s">
        <v>2946</v>
      </c>
      <c r="H109" s="709" t="s">
        <v>3287</v>
      </c>
      <c r="I109" s="708" t="s">
        <v>3685</v>
      </c>
      <c r="J109" s="712" t="s">
        <v>3588</v>
      </c>
      <c r="K109" s="706" t="n">
        <f aca="false">K108+1</f>
        <v>107</v>
      </c>
      <c r="L109" s="711" t="s">
        <v>3686</v>
      </c>
      <c r="M109" s="708" t="n">
        <v>10</v>
      </c>
      <c r="N109" s="708" t="n">
        <v>5</v>
      </c>
      <c r="O109" s="708" t="s">
        <v>3557</v>
      </c>
      <c r="P109" s="708" t="n">
        <v>6</v>
      </c>
      <c r="Q109" s="708" t="s">
        <v>3687</v>
      </c>
      <c r="R109" s="709" t="s">
        <v>3403</v>
      </c>
      <c r="S109" s="708" t="s">
        <v>3080</v>
      </c>
      <c r="T109" s="712" t="s">
        <v>3567</v>
      </c>
      <c r="U109" s="706" t="n">
        <f aca="false">U108+1</f>
        <v>107</v>
      </c>
      <c r="V109" s="713" t="s">
        <v>3688</v>
      </c>
      <c r="W109" s="714" t="n">
        <v>9</v>
      </c>
      <c r="X109" s="714" t="n">
        <v>3</v>
      </c>
      <c r="Y109" s="715" t="s">
        <v>3475</v>
      </c>
      <c r="Z109" s="714" t="s">
        <v>2754</v>
      </c>
      <c r="AA109" s="714" t="s">
        <v>2755</v>
      </c>
      <c r="AB109" s="714" t="s">
        <v>2858</v>
      </c>
      <c r="AC109" s="714" t="s">
        <v>2854</v>
      </c>
      <c r="AD109" s="712" t="s">
        <v>3634</v>
      </c>
      <c r="AE109" s="716" t="n">
        <f aca="false">AE108+1</f>
        <v>107</v>
      </c>
      <c r="AF109" s="720" t="s">
        <v>3689</v>
      </c>
      <c r="AG109" s="714" t="n">
        <v>10</v>
      </c>
      <c r="AH109" s="714" t="n">
        <v>3</v>
      </c>
      <c r="AI109" s="715" t="s">
        <v>3690</v>
      </c>
      <c r="AJ109" s="714" t="n">
        <v>15</v>
      </c>
      <c r="AK109" s="714" t="s">
        <v>2946</v>
      </c>
      <c r="AL109" s="714" t="s">
        <v>3691</v>
      </c>
      <c r="AM109" s="714" t="s">
        <v>2854</v>
      </c>
      <c r="AN109" s="712" t="s">
        <v>3692</v>
      </c>
      <c r="AO109" s="716" t="n">
        <f aca="false">AO108+1</f>
        <v>107</v>
      </c>
      <c r="AP109" s="722" t="s">
        <v>3693</v>
      </c>
      <c r="AQ109" s="723" t="n">
        <v>12</v>
      </c>
      <c r="AR109" s="723" t="s">
        <v>3480</v>
      </c>
      <c r="AS109" s="723" t="s">
        <v>3643</v>
      </c>
      <c r="AT109" s="723" t="n">
        <v>6</v>
      </c>
      <c r="AU109" s="723" t="s">
        <v>2719</v>
      </c>
      <c r="AV109" s="724" t="s">
        <v>3694</v>
      </c>
      <c r="AW109" s="723" t="s">
        <v>3315</v>
      </c>
      <c r="AX109" s="725" t="s">
        <v>3646</v>
      </c>
    </row>
    <row r="110" customFormat="false" ht="12.75" hidden="false" customHeight="false" outlineLevel="0" collapsed="false">
      <c r="A110" s="706" t="n">
        <f aca="false">A109+1</f>
        <v>108</v>
      </c>
      <c r="B110" s="711" t="s">
        <v>3695</v>
      </c>
      <c r="C110" s="708" t="n">
        <v>9</v>
      </c>
      <c r="D110" s="708" t="n">
        <v>4</v>
      </c>
      <c r="E110" s="708" t="s">
        <v>3507</v>
      </c>
      <c r="F110" s="708" t="n">
        <v>15</v>
      </c>
      <c r="G110" s="708" t="s">
        <v>2946</v>
      </c>
      <c r="H110" s="709" t="s">
        <v>3608</v>
      </c>
      <c r="I110" s="708" t="s">
        <v>2982</v>
      </c>
      <c r="J110" s="712" t="s">
        <v>3637</v>
      </c>
      <c r="K110" s="706" t="n">
        <f aca="false">K109+1</f>
        <v>108</v>
      </c>
      <c r="L110" s="707" t="s">
        <v>3696</v>
      </c>
      <c r="M110" s="213" t="n">
        <v>13</v>
      </c>
      <c r="N110" s="213" t="s">
        <v>2908</v>
      </c>
      <c r="O110" s="213" t="s">
        <v>3697</v>
      </c>
      <c r="P110" s="213" t="s">
        <v>2718</v>
      </c>
      <c r="Q110" s="213" t="s">
        <v>2719</v>
      </c>
      <c r="R110" s="212" t="s">
        <v>3385</v>
      </c>
      <c r="S110" s="220" t="s">
        <v>2732</v>
      </c>
      <c r="T110" s="733" t="s">
        <v>3625</v>
      </c>
      <c r="U110" s="706" t="n">
        <f aca="false">U109+1</f>
        <v>108</v>
      </c>
      <c r="V110" s="713" t="s">
        <v>3698</v>
      </c>
      <c r="W110" s="714" t="n">
        <v>9</v>
      </c>
      <c r="X110" s="714" t="n">
        <v>1</v>
      </c>
      <c r="Y110" s="715" t="s">
        <v>3699</v>
      </c>
      <c r="Z110" s="714" t="s">
        <v>2718</v>
      </c>
      <c r="AA110" s="714" t="s">
        <v>2866</v>
      </c>
      <c r="AB110" s="714" t="s">
        <v>262</v>
      </c>
      <c r="AC110" s="714" t="s">
        <v>2732</v>
      </c>
      <c r="AD110" s="712" t="s">
        <v>3596</v>
      </c>
      <c r="AE110" s="716" t="n">
        <f aca="false">AE109+1</f>
        <v>108</v>
      </c>
      <c r="AF110" s="717" t="s">
        <v>3700</v>
      </c>
      <c r="AG110" s="718" t="n">
        <v>11</v>
      </c>
      <c r="AH110" s="718" t="n">
        <v>4</v>
      </c>
      <c r="AI110" s="719" t="s">
        <v>3701</v>
      </c>
      <c r="AJ110" s="718" t="n">
        <v>10</v>
      </c>
      <c r="AK110" s="718" t="s">
        <v>2891</v>
      </c>
      <c r="AL110" s="718" t="s">
        <v>3702</v>
      </c>
      <c r="AM110" s="718" t="s">
        <v>2785</v>
      </c>
      <c r="AN110" s="710" t="s">
        <v>3662</v>
      </c>
      <c r="AO110" s="716" t="n">
        <f aca="false">AO109+1</f>
        <v>108</v>
      </c>
      <c r="AP110" s="147" t="s">
        <v>3703</v>
      </c>
      <c r="AQ110" s="220" t="n">
        <v>14</v>
      </c>
      <c r="AR110" s="220" t="s">
        <v>3704</v>
      </c>
      <c r="AS110" s="220" t="s">
        <v>3705</v>
      </c>
      <c r="AT110" s="220" t="n">
        <v>10</v>
      </c>
      <c r="AU110" s="220" t="s">
        <v>3452</v>
      </c>
      <c r="AV110" s="69" t="s">
        <v>3706</v>
      </c>
      <c r="AW110" s="220" t="s">
        <v>3707</v>
      </c>
      <c r="AX110" s="733" t="s">
        <v>3646</v>
      </c>
    </row>
    <row r="111" customFormat="false" ht="12.75" hidden="false" customHeight="false" outlineLevel="0" collapsed="false">
      <c r="A111" s="706" t="n">
        <f aca="false">A110+1</f>
        <v>109</v>
      </c>
      <c r="B111" s="711" t="s">
        <v>3576</v>
      </c>
      <c r="C111" s="708" t="n">
        <v>9</v>
      </c>
      <c r="D111" s="708" t="n">
        <v>5</v>
      </c>
      <c r="E111" s="708" t="s">
        <v>3577</v>
      </c>
      <c r="F111" s="708" t="s">
        <v>2718</v>
      </c>
      <c r="G111" s="708" t="s">
        <v>2866</v>
      </c>
      <c r="H111" s="709" t="s">
        <v>3202</v>
      </c>
      <c r="I111" s="708" t="s">
        <v>3578</v>
      </c>
      <c r="J111" s="712" t="s">
        <v>3579</v>
      </c>
      <c r="K111" s="706" t="n">
        <f aca="false">K110+1</f>
        <v>109</v>
      </c>
      <c r="L111" s="707" t="s">
        <v>3708</v>
      </c>
      <c r="M111" s="213" t="n">
        <v>14</v>
      </c>
      <c r="N111" s="213" t="s">
        <v>3709</v>
      </c>
      <c r="O111" s="213" t="s">
        <v>3710</v>
      </c>
      <c r="P111" s="213" t="n">
        <v>8</v>
      </c>
      <c r="Q111" s="213" t="s">
        <v>2719</v>
      </c>
      <c r="R111" s="212" t="s">
        <v>3202</v>
      </c>
      <c r="S111" s="727" t="s">
        <v>3080</v>
      </c>
      <c r="T111" s="712" t="s">
        <v>3625</v>
      </c>
      <c r="U111" s="706" t="n">
        <f aca="false">U110+1</f>
        <v>109</v>
      </c>
      <c r="V111" s="713" t="s">
        <v>3711</v>
      </c>
      <c r="W111" s="714" t="n">
        <v>9</v>
      </c>
      <c r="X111" s="714" t="n">
        <v>4</v>
      </c>
      <c r="Y111" s="715" t="s">
        <v>3475</v>
      </c>
      <c r="Z111" s="714" t="s">
        <v>2718</v>
      </c>
      <c r="AA111" s="714" t="s">
        <v>2866</v>
      </c>
      <c r="AB111" s="714" t="s">
        <v>3612</v>
      </c>
      <c r="AC111" s="714" t="s">
        <v>2732</v>
      </c>
      <c r="AD111" s="712" t="s">
        <v>3692</v>
      </c>
      <c r="AE111" s="716" t="n">
        <f aca="false">AE110+1</f>
        <v>109</v>
      </c>
      <c r="AF111" s="734" t="s">
        <v>3681</v>
      </c>
      <c r="AG111" s="735" t="n">
        <v>12</v>
      </c>
      <c r="AH111" s="735" t="s">
        <v>3480</v>
      </c>
      <c r="AI111" s="736" t="s">
        <v>3648</v>
      </c>
      <c r="AJ111" s="735" t="s">
        <v>2754</v>
      </c>
      <c r="AK111" s="735" t="s">
        <v>3682</v>
      </c>
      <c r="AL111" s="735" t="s">
        <v>3683</v>
      </c>
      <c r="AM111" s="735" t="s">
        <v>2732</v>
      </c>
      <c r="AN111" s="710" t="s">
        <v>3564</v>
      </c>
      <c r="AO111" s="716" t="n">
        <f aca="false">AO110+1</f>
        <v>109</v>
      </c>
      <c r="AP111" s="711" t="s">
        <v>3712</v>
      </c>
      <c r="AQ111" s="708" t="n">
        <v>15</v>
      </c>
      <c r="AR111" s="708" t="s">
        <v>3709</v>
      </c>
      <c r="AS111" s="708" t="s">
        <v>3713</v>
      </c>
      <c r="AT111" s="708" t="n">
        <v>10</v>
      </c>
      <c r="AU111" s="708" t="s">
        <v>3714</v>
      </c>
      <c r="AV111" s="709" t="s">
        <v>3715</v>
      </c>
      <c r="AW111" s="708" t="s">
        <v>3027</v>
      </c>
      <c r="AX111" s="712" t="s">
        <v>3662</v>
      </c>
    </row>
    <row r="112" customFormat="false" ht="12.75" hidden="false" customHeight="false" outlineLevel="0" collapsed="false">
      <c r="A112" s="706" t="n">
        <f aca="false">A111+1</f>
        <v>110</v>
      </c>
      <c r="B112" s="711" t="s">
        <v>3607</v>
      </c>
      <c r="C112" s="708" t="n">
        <v>9</v>
      </c>
      <c r="D112" s="708" t="n">
        <v>4</v>
      </c>
      <c r="E112" s="708" t="s">
        <v>3507</v>
      </c>
      <c r="F112" s="708" t="s">
        <v>2754</v>
      </c>
      <c r="G112" s="708" t="s">
        <v>2946</v>
      </c>
      <c r="H112" s="709" t="s">
        <v>3608</v>
      </c>
      <c r="I112" s="708" t="s">
        <v>2982</v>
      </c>
      <c r="J112" s="712" t="s">
        <v>3609</v>
      </c>
      <c r="K112" s="706" t="n">
        <f aca="false">K111+1</f>
        <v>110</v>
      </c>
      <c r="L112" s="737"/>
      <c r="T112" s="712"/>
      <c r="U112" s="706" t="n">
        <f aca="false">U111+1</f>
        <v>110</v>
      </c>
      <c r="V112" s="713" t="s">
        <v>3716</v>
      </c>
      <c r="W112" s="714" t="n">
        <v>9</v>
      </c>
      <c r="X112" s="714" t="n">
        <v>4</v>
      </c>
      <c r="Y112" s="715" t="s">
        <v>3563</v>
      </c>
      <c r="Z112" s="714" t="s">
        <v>2754</v>
      </c>
      <c r="AA112" s="714" t="s">
        <v>2719</v>
      </c>
      <c r="AB112" s="714" t="s">
        <v>262</v>
      </c>
      <c r="AC112" s="714" t="s">
        <v>3080</v>
      </c>
      <c r="AD112" s="712" t="s">
        <v>3692</v>
      </c>
      <c r="AE112" s="716" t="n">
        <f aca="false">AE111+1</f>
        <v>110</v>
      </c>
      <c r="AF112" s="720" t="s">
        <v>3717</v>
      </c>
      <c r="AG112" s="714" t="n">
        <v>13</v>
      </c>
      <c r="AH112" s="714" t="s">
        <v>3718</v>
      </c>
      <c r="AI112" s="715" t="s">
        <v>3719</v>
      </c>
      <c r="AJ112" s="714" t="n">
        <v>10</v>
      </c>
      <c r="AK112" s="714" t="s">
        <v>2719</v>
      </c>
      <c r="AL112" s="714" t="s">
        <v>3287</v>
      </c>
      <c r="AM112" s="718" t="s">
        <v>2732</v>
      </c>
      <c r="AN112" s="710" t="s">
        <v>3558</v>
      </c>
      <c r="AO112" s="716" t="n">
        <f aca="false">AO111+1</f>
        <v>110</v>
      </c>
      <c r="AP112" s="711" t="s">
        <v>3720</v>
      </c>
      <c r="AQ112" s="727" t="n">
        <v>15</v>
      </c>
      <c r="AR112" s="727" t="s">
        <v>3721</v>
      </c>
      <c r="AS112" s="727" t="s">
        <v>3722</v>
      </c>
      <c r="AT112" s="727" t="s">
        <v>2754</v>
      </c>
      <c r="AU112" s="727" t="s">
        <v>3667</v>
      </c>
      <c r="AV112" s="158" t="s">
        <v>3723</v>
      </c>
      <c r="AW112" s="727" t="s">
        <v>3215</v>
      </c>
      <c r="AX112" s="712" t="s">
        <v>3591</v>
      </c>
    </row>
    <row r="113" customFormat="false" ht="12.75" hidden="false" customHeight="false" outlineLevel="0" collapsed="false">
      <c r="A113" s="706" t="n">
        <f aca="false">A112+1</f>
        <v>111</v>
      </c>
      <c r="B113" s="707" t="s">
        <v>3724</v>
      </c>
      <c r="C113" s="213" t="n">
        <v>10</v>
      </c>
      <c r="D113" s="213" t="s">
        <v>3065</v>
      </c>
      <c r="E113" s="213" t="s">
        <v>3690</v>
      </c>
      <c r="F113" s="213" t="n">
        <v>8</v>
      </c>
      <c r="G113" s="213" t="s">
        <v>2719</v>
      </c>
      <c r="H113" s="212" t="s">
        <v>3287</v>
      </c>
      <c r="I113" s="213" t="s">
        <v>3725</v>
      </c>
      <c r="J113" s="710" t="s">
        <v>3564</v>
      </c>
      <c r="K113" s="706" t="n">
        <f aca="false">K112+1</f>
        <v>111</v>
      </c>
      <c r="L113" s="737"/>
      <c r="T113" s="738"/>
      <c r="U113" s="706" t="n">
        <f aca="false">U112+1</f>
        <v>111</v>
      </c>
      <c r="V113" s="721" t="s">
        <v>3726</v>
      </c>
      <c r="W113" s="718" t="n">
        <v>10</v>
      </c>
      <c r="X113" s="718" t="n">
        <v>3</v>
      </c>
      <c r="Y113" s="719" t="s">
        <v>3052</v>
      </c>
      <c r="Z113" s="718" t="s">
        <v>2754</v>
      </c>
      <c r="AA113" s="718" t="s">
        <v>2719</v>
      </c>
      <c r="AB113" s="718" t="s">
        <v>3727</v>
      </c>
      <c r="AC113" s="718" t="s">
        <v>3467</v>
      </c>
      <c r="AD113" s="710" t="s">
        <v>3664</v>
      </c>
      <c r="AE113" s="716" t="n">
        <f aca="false">AE112+1</f>
        <v>111</v>
      </c>
      <c r="AF113" s="717" t="s">
        <v>3728</v>
      </c>
      <c r="AG113" s="718" t="n">
        <v>15</v>
      </c>
      <c r="AH113" s="718" t="s">
        <v>3480</v>
      </c>
      <c r="AI113" s="719" t="s">
        <v>3729</v>
      </c>
      <c r="AJ113" s="718" t="n">
        <v>12</v>
      </c>
      <c r="AK113" s="718" t="s">
        <v>3730</v>
      </c>
      <c r="AL113" s="718" t="s">
        <v>3731</v>
      </c>
      <c r="AM113" s="718" t="s">
        <v>2958</v>
      </c>
      <c r="AN113" s="710" t="s">
        <v>3558</v>
      </c>
      <c r="AO113" s="716" t="n">
        <f aca="false">AO112+1</f>
        <v>111</v>
      </c>
      <c r="AP113" s="737"/>
      <c r="AR113" s="716"/>
      <c r="AS113" s="739"/>
      <c r="AT113" s="716"/>
      <c r="AU113" s="716"/>
      <c r="AW113" s="716"/>
      <c r="AX113" s="738"/>
    </row>
    <row r="114" customFormat="false" ht="12.75" hidden="false" customHeight="false" outlineLevel="0" collapsed="false">
      <c r="A114" s="706" t="n">
        <f aca="false">A113+1</f>
        <v>112</v>
      </c>
      <c r="B114" s="711" t="s">
        <v>3732</v>
      </c>
      <c r="C114" s="708" t="n">
        <v>10</v>
      </c>
      <c r="D114" s="708" t="n">
        <v>3</v>
      </c>
      <c r="E114" s="708" t="s">
        <v>3733</v>
      </c>
      <c r="F114" s="708" t="s">
        <v>2718</v>
      </c>
      <c r="G114" s="708" t="s">
        <v>3156</v>
      </c>
      <c r="H114" s="709" t="s">
        <v>3202</v>
      </c>
      <c r="I114" s="708" t="s">
        <v>2982</v>
      </c>
      <c r="J114" s="712" t="s">
        <v>3631</v>
      </c>
      <c r="K114" s="706" t="n">
        <f aca="false">K113+1</f>
        <v>112</v>
      </c>
      <c r="L114" s="737"/>
      <c r="T114" s="738"/>
      <c r="U114" s="706" t="n">
        <f aca="false">U113+1</f>
        <v>112</v>
      </c>
      <c r="V114" s="713" t="s">
        <v>3734</v>
      </c>
      <c r="W114" s="714" t="n">
        <v>10</v>
      </c>
      <c r="X114" s="714" t="n">
        <v>5</v>
      </c>
      <c r="Y114" s="715" t="s">
        <v>3735</v>
      </c>
      <c r="Z114" s="714" t="s">
        <v>2718</v>
      </c>
      <c r="AA114" s="714" t="s">
        <v>3640</v>
      </c>
      <c r="AB114" s="714" t="s">
        <v>3385</v>
      </c>
      <c r="AC114" s="714" t="s">
        <v>2732</v>
      </c>
      <c r="AD114" s="712" t="s">
        <v>3664</v>
      </c>
      <c r="AE114" s="716" t="n">
        <f aca="false">AE113+1</f>
        <v>112</v>
      </c>
      <c r="AF114" s="737"/>
      <c r="AN114" s="740"/>
      <c r="AO114" s="716" t="n">
        <f aca="false">AO113+1</f>
        <v>112</v>
      </c>
      <c r="AP114" s="737"/>
      <c r="AX114" s="738"/>
    </row>
    <row r="115" customFormat="false" ht="12.75" hidden="false" customHeight="false" outlineLevel="0" collapsed="false">
      <c r="A115" s="706" t="n">
        <f aca="false">A114+1</f>
        <v>113</v>
      </c>
      <c r="B115" s="711" t="s">
        <v>3736</v>
      </c>
      <c r="C115" s="708" t="n">
        <v>10</v>
      </c>
      <c r="D115" s="708" t="n">
        <v>3</v>
      </c>
      <c r="E115" s="708" t="s">
        <v>3655</v>
      </c>
      <c r="F115" s="708" t="s">
        <v>2754</v>
      </c>
      <c r="G115" s="708" t="s">
        <v>2719</v>
      </c>
      <c r="H115" s="709" t="s">
        <v>2772</v>
      </c>
      <c r="I115" s="708" t="s">
        <v>2958</v>
      </c>
      <c r="J115" s="712" t="s">
        <v>3631</v>
      </c>
      <c r="K115" s="706" t="n">
        <f aca="false">K114+1</f>
        <v>113</v>
      </c>
      <c r="L115" s="737"/>
      <c r="T115" s="738"/>
      <c r="U115" s="706" t="n">
        <f aca="false">U114+1</f>
        <v>113</v>
      </c>
      <c r="V115" s="713" t="s">
        <v>3614</v>
      </c>
      <c r="W115" s="714" t="n">
        <v>10</v>
      </c>
      <c r="X115" s="714" t="n">
        <v>3</v>
      </c>
      <c r="Y115" s="715" t="s">
        <v>3528</v>
      </c>
      <c r="Z115" s="714" t="s">
        <v>2754</v>
      </c>
      <c r="AA115" s="714" t="s">
        <v>2866</v>
      </c>
      <c r="AB115" s="714" t="s">
        <v>3202</v>
      </c>
      <c r="AC115" s="714" t="s">
        <v>2732</v>
      </c>
      <c r="AD115" s="712" t="s">
        <v>3602</v>
      </c>
      <c r="AE115" s="716" t="n">
        <f aca="false">AE114+1</f>
        <v>113</v>
      </c>
      <c r="AF115" s="737"/>
      <c r="AN115" s="740"/>
      <c r="AO115" s="716" t="n">
        <f aca="false">AO114+1</f>
        <v>113</v>
      </c>
      <c r="AP115" s="737"/>
      <c r="AX115" s="738"/>
    </row>
    <row r="116" customFormat="false" ht="12.75" hidden="false" customHeight="false" outlineLevel="0" collapsed="false">
      <c r="A116" s="706" t="n">
        <f aca="false">A115+1</f>
        <v>114</v>
      </c>
      <c r="B116" s="711" t="s">
        <v>3737</v>
      </c>
      <c r="C116" s="708" t="n">
        <v>10</v>
      </c>
      <c r="D116" s="708" t="n">
        <v>3</v>
      </c>
      <c r="E116" s="708" t="s">
        <v>3738</v>
      </c>
      <c r="F116" s="708" t="s">
        <v>2718</v>
      </c>
      <c r="G116" s="708" t="s">
        <v>3156</v>
      </c>
      <c r="H116" s="709" t="s">
        <v>3154</v>
      </c>
      <c r="I116" s="708" t="s">
        <v>2982</v>
      </c>
      <c r="J116" s="712" t="s">
        <v>3637</v>
      </c>
      <c r="K116" s="706" t="n">
        <f aca="false">K115+1</f>
        <v>114</v>
      </c>
      <c r="L116" s="737"/>
      <c r="T116" s="738"/>
      <c r="U116" s="706" t="n">
        <f aca="false">U115+1</f>
        <v>114</v>
      </c>
      <c r="V116" s="713" t="s">
        <v>3739</v>
      </c>
      <c r="W116" s="714" t="n">
        <v>10</v>
      </c>
      <c r="X116" s="714" t="n">
        <v>7</v>
      </c>
      <c r="Y116" s="715" t="s">
        <v>3657</v>
      </c>
      <c r="Z116" s="714" t="s">
        <v>2718</v>
      </c>
      <c r="AA116" s="714" t="s">
        <v>2866</v>
      </c>
      <c r="AB116" s="714" t="s">
        <v>3287</v>
      </c>
      <c r="AC116" s="714" t="s">
        <v>2732</v>
      </c>
      <c r="AD116" s="712" t="s">
        <v>3740</v>
      </c>
      <c r="AE116" s="716" t="n">
        <f aca="false">AE115+1</f>
        <v>114</v>
      </c>
      <c r="AF116" s="737"/>
      <c r="AN116" s="740"/>
      <c r="AO116" s="716" t="n">
        <f aca="false">AO115+1</f>
        <v>114</v>
      </c>
      <c r="AP116" s="737"/>
      <c r="AX116" s="738"/>
    </row>
    <row r="117" customFormat="false" ht="12.75" hidden="false" customHeight="false" outlineLevel="0" collapsed="false">
      <c r="A117" s="706" t="n">
        <f aca="false">A116+1</f>
        <v>115</v>
      </c>
      <c r="B117" s="711" t="s">
        <v>3741</v>
      </c>
      <c r="C117" s="708" t="n">
        <v>10</v>
      </c>
      <c r="D117" s="708" t="s">
        <v>3718</v>
      </c>
      <c r="E117" s="708" t="s">
        <v>3742</v>
      </c>
      <c r="F117" s="708" t="n">
        <v>9</v>
      </c>
      <c r="G117" s="708" t="s">
        <v>3452</v>
      </c>
      <c r="H117" s="709" t="s">
        <v>3743</v>
      </c>
      <c r="I117" s="708" t="s">
        <v>2777</v>
      </c>
      <c r="J117" s="712" t="s">
        <v>3740</v>
      </c>
      <c r="K117" s="706" t="n">
        <f aca="false">K116+1</f>
        <v>115</v>
      </c>
      <c r="L117" s="737"/>
      <c r="T117" s="738"/>
      <c r="U117" s="706" t="n">
        <f aca="false">U116+1</f>
        <v>115</v>
      </c>
      <c r="V117" s="713" t="s">
        <v>3744</v>
      </c>
      <c r="W117" s="714" t="n">
        <v>10</v>
      </c>
      <c r="X117" s="714" t="n">
        <v>5</v>
      </c>
      <c r="Y117" s="715" t="s">
        <v>3395</v>
      </c>
      <c r="Z117" s="714" t="s">
        <v>2754</v>
      </c>
      <c r="AA117" s="714" t="s">
        <v>3745</v>
      </c>
      <c r="AB117" s="714" t="s">
        <v>3202</v>
      </c>
      <c r="AC117" s="714" t="s">
        <v>3001</v>
      </c>
      <c r="AD117" s="712" t="s">
        <v>3740</v>
      </c>
      <c r="AE117" s="716" t="n">
        <f aca="false">AE116+1</f>
        <v>115</v>
      </c>
      <c r="AF117" s="737"/>
      <c r="AN117" s="740"/>
      <c r="AO117" s="716" t="n">
        <f aca="false">AO116+1</f>
        <v>115</v>
      </c>
      <c r="AP117" s="737"/>
      <c r="AX117" s="738"/>
    </row>
    <row r="118" customFormat="false" ht="12.75" hidden="false" customHeight="false" outlineLevel="0" collapsed="false">
      <c r="A118" s="706" t="n">
        <f aca="false">A117+1</f>
        <v>116</v>
      </c>
      <c r="B118" s="711" t="s">
        <v>3746</v>
      </c>
      <c r="C118" s="708" t="n">
        <v>10</v>
      </c>
      <c r="D118" s="708" t="n">
        <v>4</v>
      </c>
      <c r="E118" s="708" t="s">
        <v>3747</v>
      </c>
      <c r="F118" s="708" t="s">
        <v>2718</v>
      </c>
      <c r="G118" s="708" t="s">
        <v>2823</v>
      </c>
      <c r="H118" s="709" t="s">
        <v>2772</v>
      </c>
      <c r="I118" s="708" t="s">
        <v>3080</v>
      </c>
      <c r="J118" s="712" t="s">
        <v>3591</v>
      </c>
      <c r="K118" s="706" t="n">
        <f aca="false">K117+1</f>
        <v>116</v>
      </c>
      <c r="L118" s="737"/>
      <c r="T118" s="738"/>
      <c r="U118" s="706" t="n">
        <f aca="false">U117+1</f>
        <v>116</v>
      </c>
      <c r="V118" s="713" t="s">
        <v>3748</v>
      </c>
      <c r="W118" s="714" t="n">
        <v>10</v>
      </c>
      <c r="X118" s="714" t="n">
        <v>6</v>
      </c>
      <c r="Y118" s="715" t="s">
        <v>3441</v>
      </c>
      <c r="Z118" s="714" t="s">
        <v>2718</v>
      </c>
      <c r="AA118" s="714" t="s">
        <v>2719</v>
      </c>
      <c r="AB118" s="714" t="s">
        <v>3749</v>
      </c>
      <c r="AC118" s="714" t="s">
        <v>3027</v>
      </c>
      <c r="AD118" s="712" t="s">
        <v>3634</v>
      </c>
      <c r="AE118" s="716" t="n">
        <f aca="false">AE117+1</f>
        <v>116</v>
      </c>
      <c r="AF118" s="737"/>
      <c r="AN118" s="740"/>
      <c r="AO118" s="716" t="n">
        <f aca="false">AO117+1</f>
        <v>116</v>
      </c>
      <c r="AP118" s="737"/>
      <c r="AX118" s="738"/>
    </row>
    <row r="119" customFormat="false" ht="12.75" hidden="false" customHeight="false" outlineLevel="0" collapsed="false">
      <c r="A119" s="706" t="n">
        <f aca="false">A118+1</f>
        <v>117</v>
      </c>
      <c r="B119" s="711" t="s">
        <v>3666</v>
      </c>
      <c r="C119" s="708" t="n">
        <v>10</v>
      </c>
      <c r="D119" s="708" t="n">
        <v>5</v>
      </c>
      <c r="E119" s="708" t="s">
        <v>3138</v>
      </c>
      <c r="F119" s="708" t="n">
        <v>6</v>
      </c>
      <c r="G119" s="708" t="s">
        <v>3667</v>
      </c>
      <c r="H119" s="709" t="s">
        <v>2858</v>
      </c>
      <c r="I119" s="708" t="s">
        <v>3668</v>
      </c>
      <c r="J119" s="712" t="s">
        <v>3609</v>
      </c>
      <c r="K119" s="706" t="n">
        <f aca="false">K118+1</f>
        <v>117</v>
      </c>
      <c r="L119" s="737"/>
      <c r="T119" s="738"/>
      <c r="U119" s="706" t="n">
        <f aca="false">U118+1</f>
        <v>117</v>
      </c>
      <c r="V119" s="713" t="s">
        <v>3750</v>
      </c>
      <c r="W119" s="714" t="n">
        <v>10</v>
      </c>
      <c r="X119" s="714" t="n">
        <v>4</v>
      </c>
      <c r="Y119" s="715" t="s">
        <v>3421</v>
      </c>
      <c r="Z119" s="714" t="s">
        <v>2718</v>
      </c>
      <c r="AA119" s="714" t="s">
        <v>2736</v>
      </c>
      <c r="AB119" s="714" t="s">
        <v>2772</v>
      </c>
      <c r="AC119" s="714" t="s">
        <v>3001</v>
      </c>
      <c r="AD119" s="712" t="s">
        <v>3596</v>
      </c>
      <c r="AE119" s="716" t="n">
        <f aca="false">AE118+1</f>
        <v>117</v>
      </c>
      <c r="AF119" s="737"/>
      <c r="AN119" s="740"/>
      <c r="AO119" s="716" t="n">
        <f aca="false">AO118+1</f>
        <v>117</v>
      </c>
      <c r="AP119" s="737"/>
      <c r="AX119" s="738"/>
    </row>
    <row r="120" customFormat="false" ht="12.75" hidden="false" customHeight="false" outlineLevel="0" collapsed="false">
      <c r="A120" s="706" t="n">
        <f aca="false">A119+1</f>
        <v>118</v>
      </c>
      <c r="B120" s="147" t="s">
        <v>3671</v>
      </c>
      <c r="C120" s="220" t="n">
        <v>11</v>
      </c>
      <c r="D120" s="220" t="n">
        <v>4</v>
      </c>
      <c r="E120" s="220" t="s">
        <v>3672</v>
      </c>
      <c r="F120" s="220" t="n">
        <v>6</v>
      </c>
      <c r="G120" s="220" t="s">
        <v>2719</v>
      </c>
      <c r="H120" s="69" t="s">
        <v>3572</v>
      </c>
      <c r="I120" s="220" t="s">
        <v>3673</v>
      </c>
      <c r="J120" s="733" t="s">
        <v>3609</v>
      </c>
      <c r="K120" s="706" t="n">
        <f aca="false">K119+1</f>
        <v>118</v>
      </c>
      <c r="L120" s="737"/>
      <c r="T120" s="738"/>
      <c r="U120" s="706" t="n">
        <f aca="false">U119+1</f>
        <v>118</v>
      </c>
      <c r="V120" s="713" t="s">
        <v>3751</v>
      </c>
      <c r="W120" s="714" t="n">
        <v>10</v>
      </c>
      <c r="X120" s="714" t="n">
        <v>6</v>
      </c>
      <c r="Y120" s="715" t="s">
        <v>3752</v>
      </c>
      <c r="Z120" s="714" t="s">
        <v>2718</v>
      </c>
      <c r="AA120" s="714" t="s">
        <v>2719</v>
      </c>
      <c r="AB120" s="714" t="s">
        <v>3287</v>
      </c>
      <c r="AC120" s="714" t="s">
        <v>3645</v>
      </c>
      <c r="AD120" s="712" t="s">
        <v>3596</v>
      </c>
      <c r="AE120" s="716" t="n">
        <f aca="false">AE119+1</f>
        <v>118</v>
      </c>
      <c r="AF120" s="737"/>
      <c r="AN120" s="740"/>
      <c r="AO120" s="716" t="n">
        <f aca="false">AO119+1</f>
        <v>118</v>
      </c>
      <c r="AP120" s="737"/>
      <c r="AX120" s="738"/>
    </row>
    <row r="121" customFormat="false" ht="12.75" hidden="false" customHeight="false" outlineLevel="0" collapsed="false">
      <c r="A121" s="706" t="n">
        <f aca="false">A120+1</f>
        <v>119</v>
      </c>
      <c r="B121" s="711" t="s">
        <v>3693</v>
      </c>
      <c r="C121" s="708" t="n">
        <v>12</v>
      </c>
      <c r="D121" s="708" t="s">
        <v>3480</v>
      </c>
      <c r="E121" s="708" t="s">
        <v>3643</v>
      </c>
      <c r="F121" s="708" t="n">
        <v>6</v>
      </c>
      <c r="G121" s="708" t="s">
        <v>2719</v>
      </c>
      <c r="H121" s="709" t="s">
        <v>3694</v>
      </c>
      <c r="I121" s="708" t="s">
        <v>3315</v>
      </c>
      <c r="J121" s="712" t="s">
        <v>3646</v>
      </c>
      <c r="K121" s="706" t="n">
        <f aca="false">K120+1</f>
        <v>119</v>
      </c>
      <c r="L121" s="737"/>
      <c r="T121" s="738"/>
      <c r="U121" s="706" t="n">
        <f aca="false">U120+1</f>
        <v>119</v>
      </c>
      <c r="V121" s="713" t="s">
        <v>3753</v>
      </c>
      <c r="W121" s="714" t="n">
        <v>10</v>
      </c>
      <c r="X121" s="714" t="n">
        <v>2</v>
      </c>
      <c r="Y121" s="715" t="s">
        <v>3754</v>
      </c>
      <c r="Z121" s="714" t="s">
        <v>2718</v>
      </c>
      <c r="AA121" s="714" t="s">
        <v>2946</v>
      </c>
      <c r="AB121" s="714" t="s">
        <v>3202</v>
      </c>
      <c r="AC121" s="714" t="s">
        <v>3755</v>
      </c>
      <c r="AD121" s="712" t="s">
        <v>3596</v>
      </c>
      <c r="AE121" s="716" t="n">
        <f aca="false">AE120+1</f>
        <v>119</v>
      </c>
      <c r="AF121" s="737"/>
      <c r="AN121" s="740"/>
      <c r="AO121" s="716" t="n">
        <f aca="false">AO120+1</f>
        <v>119</v>
      </c>
      <c r="AP121" s="737"/>
      <c r="AX121" s="738"/>
    </row>
    <row r="122" customFormat="false" ht="12.75" hidden="false" customHeight="false" outlineLevel="0" collapsed="false">
      <c r="A122" s="706" t="n">
        <f aca="false">A121+1</f>
        <v>120</v>
      </c>
      <c r="B122" s="147" t="s">
        <v>3703</v>
      </c>
      <c r="C122" s="220" t="n">
        <v>14</v>
      </c>
      <c r="D122" s="220" t="s">
        <v>3704</v>
      </c>
      <c r="E122" s="220" t="s">
        <v>3705</v>
      </c>
      <c r="F122" s="220" t="n">
        <v>10</v>
      </c>
      <c r="G122" s="220" t="s">
        <v>3452</v>
      </c>
      <c r="H122" s="69" t="s">
        <v>3706</v>
      </c>
      <c r="I122" s="220" t="s">
        <v>3707</v>
      </c>
      <c r="J122" s="733" t="s">
        <v>3646</v>
      </c>
      <c r="K122" s="706" t="n">
        <f aca="false">K121+1</f>
        <v>120</v>
      </c>
      <c r="L122" s="737"/>
      <c r="T122" s="738"/>
      <c r="U122" s="706" t="n">
        <f aca="false">U121+1</f>
        <v>120</v>
      </c>
      <c r="V122" s="707" t="s">
        <v>3756</v>
      </c>
      <c r="W122" s="86" t="n">
        <v>11</v>
      </c>
      <c r="X122" s="86" t="s">
        <v>3642</v>
      </c>
      <c r="Y122" s="86" t="s">
        <v>3643</v>
      </c>
      <c r="Z122" s="86" t="s">
        <v>2718</v>
      </c>
      <c r="AA122" s="86" t="s">
        <v>2719</v>
      </c>
      <c r="AB122" s="86" t="s">
        <v>3757</v>
      </c>
      <c r="AC122" s="86" t="s">
        <v>3645</v>
      </c>
      <c r="AD122" s="710" t="s">
        <v>3664</v>
      </c>
      <c r="AE122" s="716" t="n">
        <f aca="false">AE121+1</f>
        <v>120</v>
      </c>
      <c r="AF122" s="737"/>
      <c r="AN122" s="740"/>
      <c r="AO122" s="716" t="n">
        <f aca="false">AO121+1</f>
        <v>120</v>
      </c>
      <c r="AP122" s="737"/>
      <c r="AX122" s="738"/>
    </row>
    <row r="123" customFormat="false" ht="12.75" hidden="false" customHeight="false" outlineLevel="0" collapsed="false">
      <c r="A123" s="706" t="n">
        <v>121</v>
      </c>
      <c r="B123" s="711" t="s">
        <v>3712</v>
      </c>
      <c r="C123" s="708" t="n">
        <v>15</v>
      </c>
      <c r="D123" s="708" t="s">
        <v>3709</v>
      </c>
      <c r="E123" s="708" t="s">
        <v>3713</v>
      </c>
      <c r="F123" s="708" t="n">
        <v>10</v>
      </c>
      <c r="G123" s="708" t="s">
        <v>3714</v>
      </c>
      <c r="H123" s="709" t="s">
        <v>3715</v>
      </c>
      <c r="I123" s="708" t="s">
        <v>3027</v>
      </c>
      <c r="J123" s="712" t="s">
        <v>3662</v>
      </c>
      <c r="K123" s="706" t="n">
        <v>121</v>
      </c>
      <c r="L123" s="737"/>
      <c r="T123" s="738"/>
      <c r="U123" s="706" t="n">
        <v>121</v>
      </c>
      <c r="V123" s="713" t="s">
        <v>3758</v>
      </c>
      <c r="W123" s="714" t="n">
        <v>11</v>
      </c>
      <c r="X123" s="714" t="s">
        <v>3650</v>
      </c>
      <c r="Y123" s="715" t="s">
        <v>3759</v>
      </c>
      <c r="Z123" s="714" t="s">
        <v>2718</v>
      </c>
      <c r="AA123" s="714" t="s">
        <v>2719</v>
      </c>
      <c r="AB123" s="714" t="s">
        <v>3385</v>
      </c>
      <c r="AC123" s="714" t="s">
        <v>3065</v>
      </c>
      <c r="AD123" s="712" t="s">
        <v>3625</v>
      </c>
      <c r="AE123" s="716" t="n">
        <v>121</v>
      </c>
      <c r="AF123" s="737"/>
      <c r="AN123" s="740"/>
      <c r="AO123" s="716" t="n">
        <v>121</v>
      </c>
      <c r="AP123" s="737"/>
      <c r="AX123" s="738"/>
    </row>
    <row r="124" customFormat="false" ht="12.75" hidden="false" customHeight="false" outlineLevel="0" collapsed="false">
      <c r="A124" s="706" t="n">
        <v>122</v>
      </c>
      <c r="B124" s="711" t="s">
        <v>3720</v>
      </c>
      <c r="C124" s="727" t="n">
        <v>15</v>
      </c>
      <c r="D124" s="727" t="s">
        <v>3721</v>
      </c>
      <c r="E124" s="727" t="s">
        <v>3722</v>
      </c>
      <c r="F124" s="727" t="s">
        <v>2754</v>
      </c>
      <c r="G124" s="727" t="s">
        <v>3667</v>
      </c>
      <c r="H124" s="158" t="s">
        <v>3723</v>
      </c>
      <c r="I124" s="727" t="s">
        <v>3215</v>
      </c>
      <c r="J124" s="712" t="s">
        <v>3591</v>
      </c>
      <c r="K124" s="706" t="n">
        <v>122</v>
      </c>
      <c r="L124" s="737"/>
      <c r="T124" s="738"/>
      <c r="U124" s="706" t="n">
        <v>122</v>
      </c>
      <c r="V124" s="713" t="s">
        <v>3760</v>
      </c>
      <c r="W124" s="714" t="n">
        <v>11</v>
      </c>
      <c r="X124" s="714" t="s">
        <v>3761</v>
      </c>
      <c r="Y124" s="715" t="s">
        <v>3762</v>
      </c>
      <c r="Z124" s="714" t="s">
        <v>2718</v>
      </c>
      <c r="AA124" s="714" t="s">
        <v>3682</v>
      </c>
      <c r="AB124" s="714" t="s">
        <v>3763</v>
      </c>
      <c r="AC124" s="714" t="s">
        <v>3764</v>
      </c>
      <c r="AD124" s="712" t="s">
        <v>3692</v>
      </c>
      <c r="AE124" s="716" t="n">
        <v>122</v>
      </c>
      <c r="AF124" s="737"/>
      <c r="AN124" s="740"/>
      <c r="AO124" s="716" t="n">
        <v>122</v>
      </c>
      <c r="AP124" s="737"/>
      <c r="AX124" s="738"/>
    </row>
    <row r="125" customFormat="false" ht="12.75" hidden="false" customHeight="false" outlineLevel="0" collapsed="false">
      <c r="A125" s="706" t="n">
        <v>123</v>
      </c>
      <c r="B125" s="737"/>
      <c r="J125" s="738"/>
      <c r="K125" s="706" t="n">
        <v>123</v>
      </c>
      <c r="L125" s="737"/>
      <c r="T125" s="738"/>
      <c r="U125" s="706" t="n">
        <v>123</v>
      </c>
      <c r="V125" s="721" t="s">
        <v>3765</v>
      </c>
      <c r="W125" s="718" t="n">
        <v>12</v>
      </c>
      <c r="X125" s="718" t="s">
        <v>3761</v>
      </c>
      <c r="Y125" s="719" t="s">
        <v>3766</v>
      </c>
      <c r="Z125" s="718" t="s">
        <v>2754</v>
      </c>
      <c r="AA125" s="718" t="s">
        <v>2719</v>
      </c>
      <c r="AB125" s="718" t="s">
        <v>3767</v>
      </c>
      <c r="AC125" s="718" t="s">
        <v>3764</v>
      </c>
      <c r="AD125" s="710" t="s">
        <v>3740</v>
      </c>
      <c r="AE125" s="716" t="n">
        <v>123</v>
      </c>
      <c r="AF125" s="737"/>
      <c r="AN125" s="740"/>
      <c r="AO125" s="716" t="n">
        <v>123</v>
      </c>
      <c r="AP125" s="737"/>
      <c r="AX125" s="738"/>
    </row>
    <row r="126" customFormat="false" ht="12.75" hidden="false" customHeight="false" outlineLevel="0" collapsed="false">
      <c r="A126" s="706" t="n">
        <v>124</v>
      </c>
      <c r="B126" s="737"/>
      <c r="J126" s="738"/>
      <c r="K126" s="706" t="n">
        <v>124</v>
      </c>
      <c r="L126" s="737"/>
      <c r="T126" s="738"/>
      <c r="U126" s="706" t="n">
        <v>124</v>
      </c>
      <c r="V126" s="713" t="s">
        <v>3768</v>
      </c>
      <c r="W126" s="714" t="n">
        <v>12</v>
      </c>
      <c r="X126" s="714" t="n">
        <v>10</v>
      </c>
      <c r="Y126" s="715" t="s">
        <v>3769</v>
      </c>
      <c r="Z126" s="714" t="s">
        <v>2718</v>
      </c>
      <c r="AA126" s="714" t="s">
        <v>2719</v>
      </c>
      <c r="AB126" s="714" t="s">
        <v>3770</v>
      </c>
      <c r="AC126" s="714" t="s">
        <v>2958</v>
      </c>
      <c r="AD126" s="712" t="s">
        <v>3591</v>
      </c>
      <c r="AE126" s="716" t="n">
        <v>124</v>
      </c>
      <c r="AF126" s="737"/>
      <c r="AN126" s="740"/>
      <c r="AO126" s="716" t="n">
        <v>124</v>
      </c>
      <c r="AP126" s="737"/>
      <c r="AX126" s="738"/>
    </row>
    <row r="127" customFormat="false" ht="12.75" hidden="false" customHeight="false" outlineLevel="0" collapsed="false">
      <c r="A127" s="706" t="n">
        <v>125</v>
      </c>
      <c r="B127" s="737"/>
      <c r="J127" s="738"/>
      <c r="K127" s="706" t="n">
        <v>125</v>
      </c>
      <c r="L127" s="737"/>
      <c r="T127" s="738"/>
      <c r="U127" s="706" t="n">
        <v>125</v>
      </c>
      <c r="V127" s="721" t="s">
        <v>3771</v>
      </c>
      <c r="W127" s="718" t="n">
        <v>13</v>
      </c>
      <c r="X127" s="718" t="s">
        <v>3709</v>
      </c>
      <c r="Y127" s="719" t="s">
        <v>3772</v>
      </c>
      <c r="Z127" s="718" t="s">
        <v>3773</v>
      </c>
      <c r="AA127" s="718" t="s">
        <v>2719</v>
      </c>
      <c r="AB127" s="718" t="s">
        <v>3774</v>
      </c>
      <c r="AC127" s="718" t="s">
        <v>2732</v>
      </c>
      <c r="AD127" s="710" t="s">
        <v>3637</v>
      </c>
      <c r="AE127" s="716" t="n">
        <v>125</v>
      </c>
      <c r="AF127" s="737"/>
      <c r="AN127" s="740"/>
      <c r="AO127" s="716" t="n">
        <v>125</v>
      </c>
      <c r="AP127" s="737"/>
      <c r="AX127" s="738"/>
    </row>
    <row r="128" customFormat="false" ht="12.75" hidden="false" customHeight="false" outlineLevel="0" collapsed="false">
      <c r="A128" s="706" t="n">
        <v>126</v>
      </c>
      <c r="B128" s="737"/>
      <c r="J128" s="738"/>
      <c r="K128" s="706" t="n">
        <v>126</v>
      </c>
      <c r="L128" s="741"/>
      <c r="M128" s="742"/>
      <c r="N128" s="742"/>
      <c r="O128" s="743"/>
      <c r="P128" s="742"/>
      <c r="Q128" s="742"/>
      <c r="R128" s="742"/>
      <c r="S128" s="742"/>
      <c r="T128" s="744"/>
      <c r="U128" s="706" t="n">
        <v>126</v>
      </c>
      <c r="V128" s="713" t="s">
        <v>3775</v>
      </c>
      <c r="W128" s="714" t="n">
        <v>13</v>
      </c>
      <c r="X128" s="714" t="s">
        <v>3709</v>
      </c>
      <c r="Y128" s="715" t="s">
        <v>3776</v>
      </c>
      <c r="Z128" s="714" t="n">
        <v>12</v>
      </c>
      <c r="AA128" s="714" t="s">
        <v>2755</v>
      </c>
      <c r="AB128" s="714" t="s">
        <v>3777</v>
      </c>
      <c r="AC128" s="714" t="s">
        <v>3764</v>
      </c>
      <c r="AD128" s="712" t="s">
        <v>3637</v>
      </c>
      <c r="AE128" s="716" t="n">
        <v>126</v>
      </c>
      <c r="AF128" s="737"/>
      <c r="AN128" s="740"/>
      <c r="AO128" s="716" t="n">
        <v>126</v>
      </c>
      <c r="AP128" s="737"/>
      <c r="AX128" s="738"/>
    </row>
    <row r="129" customFormat="false" ht="12.75" hidden="false" customHeight="false" outlineLevel="0" collapsed="false">
      <c r="A129" s="706" t="n">
        <v>127</v>
      </c>
      <c r="B129" s="741"/>
      <c r="C129" s="742"/>
      <c r="D129" s="742"/>
      <c r="E129" s="743"/>
      <c r="F129" s="742"/>
      <c r="G129" s="742"/>
      <c r="H129" s="742"/>
      <c r="I129" s="742"/>
      <c r="J129" s="744"/>
      <c r="K129" s="706" t="n">
        <v>127</v>
      </c>
      <c r="U129" s="706" t="n">
        <v>127</v>
      </c>
      <c r="V129" s="721" t="s">
        <v>3778</v>
      </c>
      <c r="W129" s="718" t="n">
        <v>14</v>
      </c>
      <c r="X129" s="718" t="s">
        <v>3480</v>
      </c>
      <c r="Y129" s="719" t="s">
        <v>3779</v>
      </c>
      <c r="Z129" s="718" t="n">
        <v>10</v>
      </c>
      <c r="AA129" s="718" t="s">
        <v>3780</v>
      </c>
      <c r="AB129" s="718" t="s">
        <v>3781</v>
      </c>
      <c r="AC129" s="718" t="s">
        <v>3080</v>
      </c>
      <c r="AD129" s="710" t="s">
        <v>3662</v>
      </c>
      <c r="AE129" s="716" t="n">
        <v>127</v>
      </c>
      <c r="AF129" s="737"/>
      <c r="AN129" s="740"/>
      <c r="AO129" s="716" t="n">
        <v>127</v>
      </c>
      <c r="AP129" s="737"/>
      <c r="AX129" s="738"/>
    </row>
    <row r="130" customFormat="false" ht="12.75" hidden="false" customHeight="false" outlineLevel="0" collapsed="false">
      <c r="A130" s="706" t="n">
        <v>128</v>
      </c>
      <c r="K130" s="706" t="n">
        <v>128</v>
      </c>
      <c r="U130" s="706" t="n">
        <v>128</v>
      </c>
      <c r="V130" s="745"/>
      <c r="W130" s="742"/>
      <c r="X130" s="742"/>
      <c r="Y130" s="743"/>
      <c r="Z130" s="742"/>
      <c r="AA130" s="742"/>
      <c r="AB130" s="742"/>
      <c r="AC130" s="742"/>
      <c r="AD130" s="746"/>
      <c r="AE130" s="716" t="n">
        <v>128</v>
      </c>
      <c r="AF130" s="737"/>
      <c r="AN130" s="740"/>
      <c r="AO130" s="716" t="n">
        <v>128</v>
      </c>
      <c r="AP130" s="737"/>
      <c r="AX130" s="738"/>
    </row>
    <row r="131" customFormat="false" ht="12.75" hidden="false" customHeight="false" outlineLevel="0" collapsed="false">
      <c r="AF131" s="741"/>
      <c r="AG131" s="742"/>
      <c r="AH131" s="742"/>
      <c r="AI131" s="743"/>
      <c r="AJ131" s="742"/>
      <c r="AK131" s="742"/>
      <c r="AL131" s="742"/>
      <c r="AM131" s="742"/>
      <c r="AN131" s="746"/>
      <c r="AP131" s="741"/>
      <c r="AQ131" s="742"/>
      <c r="AR131" s="742"/>
      <c r="AS131" s="743"/>
      <c r="AT131" s="742"/>
      <c r="AU131" s="742"/>
      <c r="AV131" s="742"/>
      <c r="AW131" s="742"/>
      <c r="AX131" s="744"/>
    </row>
    <row r="134" customFormat="false" ht="12.75" hidden="false" customHeight="false" outlineLevel="0" collapsed="false">
      <c r="B134" s="747"/>
      <c r="C134" s="480"/>
      <c r="D134" s="480"/>
      <c r="E134" s="748"/>
      <c r="F134" s="480"/>
      <c r="G134" s="480"/>
      <c r="I134" s="480"/>
      <c r="J134" s="738"/>
    </row>
  </sheetData>
  <mergeCells count="5">
    <mergeCell ref="B1:J1"/>
    <mergeCell ref="L1:T1"/>
    <mergeCell ref="V1:AD1"/>
    <mergeCell ref="AF1:AN1"/>
    <mergeCell ref="AP1:AX1"/>
  </mergeCells>
  <printOptions headings="false" gridLines="true" gridLinesSet="true" horizontalCentered="tru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colBreaks count="3" manualBreakCount="3">
    <brk id="10" man="true" max="65535" min="0"/>
    <brk id="20" man="true" max="65535" min="0"/>
    <brk id="30" man="true" max="65535" min="0"/>
  </col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O62623"/>
  <sheetViews>
    <sheetView showFormulas="false" showGridLines="true" showRowColHeaders="true" showZeros="true" rightToLeft="false" tabSelected="true" showOutlineSymbols="true" defaultGridColor="true" view="normal" topLeftCell="D1" colorId="64" zoomScale="110" zoomScaleNormal="110" zoomScalePageLayoutView="100" workbookViewId="0">
      <pane xSplit="0" ySplit="5" topLeftCell="A6" activePane="bottomLeft" state="frozen"/>
      <selection pane="topLeft" activeCell="D1" activeCellId="0" sqref="D1"/>
      <selection pane="bottomLeft" activeCell="K28" activeCellId="0" sqref="K28"/>
    </sheetView>
  </sheetViews>
  <sheetFormatPr defaultRowHeight="12.75" zeroHeight="false" outlineLevelRow="0" outlineLevelCol="0"/>
  <cols>
    <col collapsed="false" customWidth="true" hidden="false" outlineLevel="0" max="1" min="1" style="32" width="3.83"/>
    <col collapsed="false" customWidth="true" hidden="false" outlineLevel="0" max="2" min="2" style="32" width="8.5"/>
    <col collapsed="false" customWidth="true" hidden="false" outlineLevel="0" max="3" min="3" style="32" width="7.15"/>
    <col collapsed="false" customWidth="true" hidden="false" outlineLevel="0" max="4" min="4" style="32" width="7.66"/>
    <col collapsed="false" customWidth="true" hidden="false" outlineLevel="0" max="5" min="5" style="32" width="7.49"/>
    <col collapsed="false" customWidth="true" hidden="false" outlineLevel="0" max="6" min="6" style="32" width="6.98"/>
    <col collapsed="false" customWidth="true" hidden="false" outlineLevel="0" max="7" min="7" style="32" width="7.15"/>
    <col collapsed="false" customWidth="true" hidden="false" outlineLevel="0" max="8" min="8" style="32" width="6.98"/>
    <col collapsed="false" customWidth="true" hidden="false" outlineLevel="0" max="9" min="9" style="32" width="7.15"/>
    <col collapsed="false" customWidth="true" hidden="false" outlineLevel="0" max="10" min="10" style="32" width="7.83"/>
    <col collapsed="false" customWidth="true" hidden="false" outlineLevel="0" max="11" min="11" style="32" width="12.67"/>
    <col collapsed="false" customWidth="true" hidden="false" outlineLevel="0" max="12" min="12" style="32" width="8.33"/>
    <col collapsed="false" customWidth="true" hidden="false" outlineLevel="0" max="13" min="13" style="32" width="8.17"/>
    <col collapsed="false" customWidth="true" hidden="false" outlineLevel="0" max="14" min="14" style="32" width="8"/>
    <col collapsed="false" customWidth="true" hidden="false" outlineLevel="0" max="15" min="15" style="32" width="7.66"/>
    <col collapsed="false" customWidth="true" hidden="false" outlineLevel="0" max="16" min="16" style="32" width="8.5"/>
    <col collapsed="false" customWidth="true" hidden="false" outlineLevel="0" max="17" min="17" style="32" width="7.15"/>
    <col collapsed="false" customWidth="true" hidden="false" outlineLevel="0" max="18" min="18" style="32" width="5.5"/>
    <col collapsed="false" customWidth="true" hidden="false" outlineLevel="0" max="19" min="19" style="32" width="5"/>
    <col collapsed="false" customWidth="true" hidden="false" outlineLevel="0" max="20" min="20" style="32" width="8"/>
    <col collapsed="false" customWidth="true" hidden="false" outlineLevel="0" max="21" min="21" style="32" width="6.35"/>
    <col collapsed="false" customWidth="true" hidden="false" outlineLevel="0" max="22" min="22" style="32" width="7.66"/>
    <col collapsed="false" customWidth="true" hidden="false" outlineLevel="0" max="23" min="23" style="32" width="7.49"/>
    <col collapsed="false" customWidth="true" hidden="false" outlineLevel="0" max="24" min="24" style="32" width="7.15"/>
    <col collapsed="false" customWidth="true" hidden="false" outlineLevel="0" max="25" min="25" style="32" width="6.01"/>
    <col collapsed="false" customWidth="true" hidden="false" outlineLevel="0" max="26" min="26" style="32" width="6.81"/>
    <col collapsed="false" customWidth="true" hidden="false" outlineLevel="0" max="27" min="27" style="32" width="9.16"/>
    <col collapsed="false" customWidth="true" hidden="false" outlineLevel="0" max="28" min="28" style="32" width="8.5"/>
    <col collapsed="false" customWidth="true" hidden="false" outlineLevel="0" max="30" min="29" style="32" width="8.67"/>
    <col collapsed="false" customWidth="true" hidden="false" outlineLevel="0" max="31" min="31" style="32" width="8.5"/>
    <col collapsed="false" customWidth="true" hidden="false" outlineLevel="0" max="32" min="32" style="32" width="10"/>
    <col collapsed="false" customWidth="true" hidden="false" outlineLevel="0" max="33" min="33" style="32" width="7.49"/>
    <col collapsed="false" customWidth="true" hidden="false" outlineLevel="0" max="36" min="34" style="32" width="7.15"/>
    <col collapsed="false" customWidth="true" hidden="false" outlineLevel="0" max="37" min="37" style="32" width="7.49"/>
    <col collapsed="false" customWidth="true" hidden="false" outlineLevel="0" max="38" min="38" style="32" width="10.66"/>
    <col collapsed="false" customWidth="true" hidden="false" outlineLevel="0" max="39" min="39" style="32" width="7.15"/>
    <col collapsed="false" customWidth="true" hidden="false" outlineLevel="0" max="40" min="40" style="32" width="8"/>
    <col collapsed="false" customWidth="true" hidden="false" outlineLevel="0" max="41" min="41" style="32" width="7.15"/>
    <col collapsed="false" customWidth="true" hidden="false" outlineLevel="0" max="42" min="42" style="32" width="8.67"/>
    <col collapsed="false" customWidth="true" hidden="false" outlineLevel="0" max="43" min="43" style="32" width="7.66"/>
    <col collapsed="false" customWidth="true" hidden="false" outlineLevel="0" max="44" min="44" style="32" width="13.89"/>
    <col collapsed="false" customWidth="true" hidden="false" outlineLevel="0" max="45" min="45" style="32" width="7.15"/>
    <col collapsed="false" customWidth="true" hidden="false" outlineLevel="0" max="46" min="46" style="32" width="8.17"/>
    <col collapsed="false" customWidth="true" hidden="false" outlineLevel="0" max="47" min="47" style="32" width="9.5"/>
    <col collapsed="false" customWidth="true" hidden="false" outlineLevel="0" max="48" min="48" style="32" width="9.16"/>
    <col collapsed="false" customWidth="true" hidden="false" outlineLevel="0" max="49" min="49" style="32" width="18.16"/>
    <col collapsed="false" customWidth="true" hidden="false" outlineLevel="0" max="50" min="50" style="32" width="14"/>
    <col collapsed="false" customWidth="true" hidden="false" outlineLevel="0" max="51" min="51" style="32" width="7.15"/>
    <col collapsed="false" customWidth="true" hidden="false" outlineLevel="0" max="52" min="52" style="32" width="22.33"/>
    <col collapsed="false" customWidth="true" hidden="false" outlineLevel="0" max="53" min="53" style="32" width="15.01"/>
    <col collapsed="false" customWidth="true" hidden="false" outlineLevel="0" max="54" min="54" style="32" width="7.15"/>
    <col collapsed="false" customWidth="true" hidden="false" outlineLevel="0" max="55" min="55" style="32" width="8.5"/>
    <col collapsed="false" customWidth="true" hidden="false" outlineLevel="0" max="56" min="56" style="32" width="7.15"/>
    <col collapsed="false" customWidth="true" hidden="false" outlineLevel="0" max="57" min="57" style="32" width="8.17"/>
    <col collapsed="false" customWidth="true" hidden="false" outlineLevel="0" max="58" min="58" style="32" width="7.66"/>
    <col collapsed="false" customWidth="true" hidden="false" outlineLevel="0" max="59" min="59" style="32" width="7.15"/>
    <col collapsed="false" customWidth="true" hidden="false" outlineLevel="0" max="60" min="60" style="32" width="9.16"/>
    <col collapsed="false" customWidth="true" hidden="false" outlineLevel="0" max="63" min="61" style="32" width="7.15"/>
    <col collapsed="false" customWidth="true" hidden="false" outlineLevel="0" max="64" min="64" style="32" width="28.51"/>
    <col collapsed="false" customWidth="true" hidden="false" outlineLevel="0" max="65" min="65" style="32" width="7.15"/>
    <col collapsed="false" customWidth="true" hidden="false" outlineLevel="0" max="66" min="66" style="32" width="11.31"/>
    <col collapsed="false" customWidth="true" hidden="false" outlineLevel="0" max="67" min="67" style="32" width="7.15"/>
    <col collapsed="false" customWidth="true" hidden="false" outlineLevel="0" max="68" min="68" style="32" width="8.5"/>
    <col collapsed="false" customWidth="true" hidden="false" outlineLevel="0" max="69" min="69" style="32" width="9.16"/>
    <col collapsed="false" customWidth="true" hidden="false" outlineLevel="0" max="70" min="70" style="32" width="7.15"/>
    <col collapsed="false" customWidth="true" hidden="false" outlineLevel="0" max="71" min="71" style="32" width="7.66"/>
    <col collapsed="false" customWidth="true" hidden="false" outlineLevel="0" max="72" min="72" style="32" width="7.15"/>
    <col collapsed="false" customWidth="true" hidden="false" outlineLevel="0" max="73" min="73" style="32" width="9.66"/>
    <col collapsed="false" customWidth="true" hidden="false" outlineLevel="0" max="77" min="74" style="32" width="7.15"/>
    <col collapsed="false" customWidth="true" hidden="false" outlineLevel="0" max="78" min="78" style="32" width="18.33"/>
    <col collapsed="false" customWidth="true" hidden="false" outlineLevel="0" max="80" min="79" style="32" width="7.15"/>
    <col collapsed="false" customWidth="true" hidden="false" outlineLevel="0" max="81" min="81" style="32" width="11.48"/>
    <col collapsed="false" customWidth="true" hidden="false" outlineLevel="0" max="82" min="82" style="32" width="11.31"/>
    <col collapsed="false" customWidth="true" hidden="false" outlineLevel="0" max="84" min="83" style="32" width="7.15"/>
    <col collapsed="false" customWidth="true" hidden="false" outlineLevel="0" max="85" min="85" style="32" width="10"/>
    <col collapsed="false" customWidth="true" hidden="false" outlineLevel="0" max="86" min="86" style="32" width="9.66"/>
    <col collapsed="false" customWidth="true" hidden="false" outlineLevel="0" max="88" min="87" style="32" width="7.15"/>
    <col collapsed="false" customWidth="true" hidden="false" outlineLevel="0" max="89" min="89" style="32" width="8.17"/>
    <col collapsed="false" customWidth="true" hidden="false" outlineLevel="0" max="90" min="90" style="0" width="8.17"/>
    <col collapsed="false" customWidth="true" hidden="false" outlineLevel="0" max="91" min="91" style="0" width="9.66"/>
    <col collapsed="false" customWidth="true" hidden="false" outlineLevel="0" max="93" min="92" style="0" width="9.5"/>
    <col collapsed="false" customWidth="true" hidden="false" outlineLevel="0" max="1025" min="94" style="32" width="7.15"/>
  </cols>
  <sheetData>
    <row r="1" s="32" customFormat="true" ht="12.75" hidden="false" customHeight="true" outlineLevel="0" collapsed="false">
      <c r="B1" s="33" t="s">
        <v>137</v>
      </c>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customFormat="false" ht="13.5" hidden="false" customHeight="true" outlineLevel="0" collapsed="false">
      <c r="I2" s="34" t="s">
        <v>138</v>
      </c>
      <c r="J2" s="34"/>
      <c r="K2" s="34"/>
      <c r="L2" s="34"/>
      <c r="M2" s="34"/>
      <c r="N2" s="34"/>
      <c r="O2" s="34"/>
      <c r="P2" s="34"/>
      <c r="Q2" s="34"/>
      <c r="R2" s="34"/>
      <c r="S2" s="34"/>
      <c r="AG2" s="35"/>
      <c r="AH2" s="35"/>
      <c r="AI2" s="35"/>
      <c r="AJ2" s="35"/>
      <c r="AK2" s="35"/>
      <c r="AL2" s="35"/>
      <c r="AM2" s="35"/>
      <c r="AN2" s="35"/>
      <c r="AO2" s="35"/>
      <c r="CN2" s="32"/>
      <c r="CO2" s="32"/>
    </row>
    <row r="3" customFormat="false" ht="12" hidden="false" customHeight="true" outlineLevel="0" collapsed="false">
      <c r="I3" s="36" t="s">
        <v>139</v>
      </c>
      <c r="J3" s="36"/>
      <c r="K3" s="37" t="s">
        <v>140</v>
      </c>
      <c r="L3" s="37"/>
      <c r="M3" s="38" t="s">
        <v>141</v>
      </c>
      <c r="N3" s="38"/>
      <c r="O3" s="38"/>
      <c r="P3" s="39" t="s">
        <v>142</v>
      </c>
      <c r="Q3" s="40" t="str">
        <f aca="false">SUM(M5,O5,P5,R5) &amp; " of 14"</f>
        <v>14 of 14</v>
      </c>
      <c r="R3" s="40" t="e">
        <f aca="false">SUM(#REF!) &amp; " of 25"</f>
        <v>#REF!</v>
      </c>
      <c r="S3" s="40"/>
      <c r="X3" s="41"/>
      <c r="Y3" s="42"/>
      <c r="Z3" s="42"/>
      <c r="AG3" s="41"/>
      <c r="AH3" s="41"/>
      <c r="AI3" s="43"/>
      <c r="AJ3" s="43"/>
      <c r="AK3" s="41"/>
      <c r="AL3" s="44"/>
      <c r="AM3" s="41"/>
      <c r="AN3" s="42"/>
      <c r="AO3" s="42"/>
      <c r="CN3" s="32"/>
      <c r="CO3" s="32"/>
    </row>
    <row r="4" customFormat="false" ht="12" hidden="false" customHeight="true" outlineLevel="0" collapsed="false">
      <c r="I4" s="45" t="str">
        <f aca="false">$N$14</f>
        <v>25 of 25</v>
      </c>
      <c r="J4" s="45"/>
      <c r="K4" s="46" t="str">
        <f aca="false">SUM($E$17:$E$23) &amp; " of 8"</f>
        <v>8 of 8</v>
      </c>
      <c r="L4" s="46" t="e">
        <f aca="false">SUM(#REF!) &amp; " of 25"</f>
        <v>#REF!</v>
      </c>
      <c r="M4" s="38" t="s">
        <v>143</v>
      </c>
      <c r="N4" s="38"/>
      <c r="O4" s="39" t="s">
        <v>144</v>
      </c>
      <c r="P4" s="38" t="s">
        <v>145</v>
      </c>
      <c r="Q4" s="38"/>
      <c r="R4" s="47" t="s">
        <v>146</v>
      </c>
      <c r="S4" s="47"/>
      <c r="AG4" s="42"/>
      <c r="AH4" s="42"/>
      <c r="AI4" s="42"/>
      <c r="AJ4" s="42"/>
      <c r="AK4" s="41"/>
      <c r="AL4" s="44"/>
      <c r="AM4" s="41"/>
      <c r="AN4" s="41"/>
      <c r="AO4" s="44"/>
      <c r="CN4" s="32"/>
      <c r="CO4" s="32"/>
    </row>
    <row r="5" customFormat="false" ht="12.75" hidden="false" customHeight="true" outlineLevel="0" collapsed="false">
      <c r="I5" s="45"/>
      <c r="J5" s="45"/>
      <c r="K5" s="46"/>
      <c r="L5" s="46"/>
      <c r="M5" s="48" t="n">
        <f aca="false">$E$98</f>
        <v>2</v>
      </c>
      <c r="N5" s="48" t="e">
        <f aca="false">SUM(#REF!) &amp; " of 25"</f>
        <v>#REF!</v>
      </c>
      <c r="O5" s="49" t="n">
        <f aca="false">$E$112</f>
        <v>1</v>
      </c>
      <c r="P5" s="48" t="n">
        <f aca="false">M112</f>
        <v>3</v>
      </c>
      <c r="Q5" s="48"/>
      <c r="R5" s="40" t="n">
        <f aca="false">$P$112</f>
        <v>8</v>
      </c>
      <c r="S5" s="40"/>
      <c r="AG5" s="42"/>
      <c r="AH5" s="42"/>
      <c r="AI5" s="42"/>
      <c r="AJ5" s="42"/>
      <c r="AK5" s="42"/>
      <c r="AL5" s="42"/>
      <c r="AM5" s="42"/>
      <c r="AN5" s="42"/>
      <c r="AO5" s="44"/>
      <c r="CN5" s="32"/>
      <c r="CO5" s="32"/>
    </row>
    <row r="6" customFormat="false" ht="12.75" hidden="false" customHeight="false" outlineLevel="0" collapsed="false">
      <c r="B6" s="50" t="s">
        <v>147</v>
      </c>
      <c r="C6" s="51"/>
      <c r="D6" s="51"/>
      <c r="E6" s="51"/>
      <c r="F6" s="51"/>
      <c r="G6" s="51"/>
      <c r="H6" s="52"/>
      <c r="T6" s="50" t="s">
        <v>148</v>
      </c>
      <c r="U6" s="51"/>
      <c r="V6" s="51"/>
      <c r="W6" s="51"/>
      <c r="X6" s="52"/>
      <c r="Z6" s="50" t="s">
        <v>149</v>
      </c>
      <c r="AA6" s="51"/>
      <c r="AB6" s="51"/>
      <c r="AC6" s="52"/>
      <c r="CN6" s="32"/>
      <c r="CO6" s="32"/>
    </row>
    <row r="7" customFormat="false" ht="12.75" hidden="false" customHeight="false" outlineLevel="0" collapsed="false">
      <c r="B7" s="53" t="s">
        <v>150</v>
      </c>
      <c r="C7" s="54"/>
      <c r="D7" s="55" t="s">
        <v>151</v>
      </c>
      <c r="E7" s="55"/>
      <c r="F7" s="55"/>
      <c r="G7" s="55"/>
      <c r="H7" s="55"/>
      <c r="I7" s="56"/>
      <c r="J7" s="50" t="s">
        <v>152</v>
      </c>
      <c r="K7" s="57"/>
      <c r="L7" s="58" t="s">
        <v>153</v>
      </c>
      <c r="M7" s="58" t="s">
        <v>154</v>
      </c>
      <c r="N7" s="58" t="s">
        <v>155</v>
      </c>
      <c r="O7" s="58" t="s">
        <v>156</v>
      </c>
      <c r="P7" s="58" t="s">
        <v>157</v>
      </c>
      <c r="Q7" s="58" t="s">
        <v>158</v>
      </c>
      <c r="R7" s="59" t="s">
        <v>159</v>
      </c>
      <c r="T7" s="53" t="s">
        <v>160</v>
      </c>
      <c r="U7" s="53"/>
      <c r="V7" s="60" t="s">
        <v>161</v>
      </c>
      <c r="W7" s="60"/>
      <c r="X7" s="60"/>
      <c r="Y7" s="61" t="str">
        <f aca="false">Discipline1</f>
        <v>Scout_Infiltrator</v>
      </c>
      <c r="Z7" s="62" t="s">
        <v>162</v>
      </c>
      <c r="AA7" s="54"/>
      <c r="AB7" s="63" t="n">
        <f aca="false">SUM(F616:F697)-R607</f>
        <v>132900</v>
      </c>
      <c r="AC7" s="63"/>
      <c r="CN7" s="32"/>
      <c r="CO7" s="32"/>
    </row>
    <row r="8" customFormat="false" ht="12.75" hidden="false" customHeight="false" outlineLevel="0" collapsed="false">
      <c r="B8" s="53" t="s">
        <v>163</v>
      </c>
      <c r="C8" s="54"/>
      <c r="D8" s="55" t="s">
        <v>164</v>
      </c>
      <c r="E8" s="55"/>
      <c r="F8" s="55"/>
      <c r="G8" s="55"/>
      <c r="H8" s="55"/>
      <c r="I8" s="56"/>
      <c r="J8" s="62" t="s">
        <v>165</v>
      </c>
      <c r="K8" s="54"/>
      <c r="L8" s="64" t="n">
        <f aca="false">RaceDex</f>
        <v>11</v>
      </c>
      <c r="M8" s="65" t="n">
        <v>5</v>
      </c>
      <c r="N8" s="64" t="n">
        <f aca="false">VLOOKUP(M8,AttribCost,2,1)</f>
        <v>7</v>
      </c>
      <c r="O8" s="64" t="n">
        <f aca="false">L8+M8</f>
        <v>16</v>
      </c>
      <c r="P8" s="65"/>
      <c r="Q8" s="64" t="n">
        <f aca="false">O8+P8</f>
        <v>16</v>
      </c>
      <c r="R8" s="66" t="str">
        <f aca="true">IF(P8&gt;0,OFFSET(CostStat,P8,0)," ")</f>
        <v> </v>
      </c>
      <c r="T8" s="53" t="s">
        <v>166</v>
      </c>
      <c r="U8" s="53"/>
      <c r="V8" s="65" t="n">
        <v>7</v>
      </c>
      <c r="W8" s="67"/>
      <c r="X8" s="68"/>
      <c r="Y8" s="61"/>
      <c r="Z8" s="62" t="s">
        <v>23</v>
      </c>
      <c r="AA8" s="54"/>
      <c r="AB8" s="63" t="n">
        <f aca="false">AT615</f>
        <v>2500</v>
      </c>
      <c r="AC8" s="63"/>
      <c r="CN8" s="32"/>
      <c r="CO8" s="32"/>
    </row>
    <row r="9" customFormat="false" ht="12.75" hidden="false" customHeight="false" outlineLevel="0" collapsed="false">
      <c r="B9" s="53" t="s">
        <v>167</v>
      </c>
      <c r="C9" s="54"/>
      <c r="D9" s="69" t="s">
        <v>168</v>
      </c>
      <c r="E9" s="69"/>
      <c r="F9" s="64" t="s">
        <v>169</v>
      </c>
      <c r="G9" s="64" t="s">
        <v>170</v>
      </c>
      <c r="H9" s="68"/>
      <c r="I9" s="70" t="str">
        <f aca="false">Race</f>
        <v>Human</v>
      </c>
      <c r="J9" s="62" t="s">
        <v>171</v>
      </c>
      <c r="K9" s="54"/>
      <c r="L9" s="64" t="n">
        <f aca="false">RaceStr</f>
        <v>9</v>
      </c>
      <c r="M9" s="65" t="n">
        <v>3</v>
      </c>
      <c r="N9" s="64" t="n">
        <f aca="false">VLOOKUP(M9,AttribCost,2,1)</f>
        <v>3</v>
      </c>
      <c r="O9" s="64" t="n">
        <f aca="false">L9+M9</f>
        <v>12</v>
      </c>
      <c r="P9" s="65" t="n">
        <v>1</v>
      </c>
      <c r="Q9" s="64" t="n">
        <f aca="false">O9+P9</f>
        <v>13</v>
      </c>
      <c r="R9" s="66" t="n">
        <f aca="true">IF(P9&gt;0,OFFSET(CostStat,P9,0)," ")</f>
        <v>800</v>
      </c>
      <c r="T9" s="53" t="s">
        <v>172</v>
      </c>
      <c r="U9" s="53"/>
      <c r="V9" s="60" t="s">
        <v>173</v>
      </c>
      <c r="W9" s="60"/>
      <c r="X9" s="60"/>
      <c r="Y9" s="61" t="str">
        <f aca="false">Discipline2</f>
        <v>Thief</v>
      </c>
      <c r="Z9" s="62" t="s">
        <v>13</v>
      </c>
      <c r="AA9" s="54"/>
      <c r="AB9" s="63" t="n">
        <f aca="false">SUM(R8:R13)</f>
        <v>2400</v>
      </c>
      <c r="AC9" s="63"/>
      <c r="CN9" s="32"/>
      <c r="CO9" s="32"/>
    </row>
    <row r="10" customFormat="false" ht="12.75" hidden="false" customHeight="false" outlineLevel="0" collapsed="false">
      <c r="B10" s="53" t="s">
        <v>174</v>
      </c>
      <c r="C10" s="54"/>
      <c r="D10" s="71" t="s">
        <v>175</v>
      </c>
      <c r="E10" s="72" t="s">
        <v>176</v>
      </c>
      <c r="F10" s="72"/>
      <c r="G10" s="73" t="n">
        <v>29</v>
      </c>
      <c r="H10" s="68" t="s">
        <v>177</v>
      </c>
      <c r="I10" s="56"/>
      <c r="J10" s="62" t="s">
        <v>178</v>
      </c>
      <c r="K10" s="54"/>
      <c r="L10" s="64" t="n">
        <f aca="false">RaceTou</f>
        <v>10</v>
      </c>
      <c r="M10" s="65" t="n">
        <v>3</v>
      </c>
      <c r="N10" s="64" t="n">
        <f aca="false">VLOOKUP(M10,AttribCost,2,1)</f>
        <v>3</v>
      </c>
      <c r="O10" s="64" t="n">
        <f aca="false">L10+M10</f>
        <v>13</v>
      </c>
      <c r="P10" s="65" t="n">
        <v>1</v>
      </c>
      <c r="Q10" s="64" t="n">
        <f aca="false">O10+P10</f>
        <v>14</v>
      </c>
      <c r="R10" s="66" t="n">
        <f aca="true">IF(P10&gt;0,OFFSET(CostStat,P10,0)," ")</f>
        <v>800</v>
      </c>
      <c r="T10" s="53" t="s">
        <v>166</v>
      </c>
      <c r="U10" s="53"/>
      <c r="V10" s="65" t="n">
        <v>0</v>
      </c>
      <c r="W10" s="67"/>
      <c r="X10" s="68"/>
      <c r="Y10" s="61"/>
      <c r="Z10" s="62" t="s">
        <v>179</v>
      </c>
      <c r="AA10" s="54"/>
      <c r="AB10" s="63" t="n">
        <f aca="false">AO615</f>
        <v>5000</v>
      </c>
      <c r="AC10" s="63"/>
      <c r="CN10" s="32"/>
      <c r="CO10" s="32"/>
    </row>
    <row r="11" customFormat="false" ht="12.75" hidden="false" customHeight="false" outlineLevel="0" collapsed="false">
      <c r="B11" s="53" t="s">
        <v>180</v>
      </c>
      <c r="C11" s="54"/>
      <c r="D11" s="73" t="n">
        <v>169</v>
      </c>
      <c r="E11" s="74" t="s">
        <v>181</v>
      </c>
      <c r="F11" s="54"/>
      <c r="G11" s="73" t="n">
        <v>70</v>
      </c>
      <c r="H11" s="68" t="s">
        <v>182</v>
      </c>
      <c r="I11" s="56"/>
      <c r="J11" s="62" t="s">
        <v>183</v>
      </c>
      <c r="K11" s="54"/>
      <c r="L11" s="64" t="n">
        <f aca="false">RacePer</f>
        <v>10</v>
      </c>
      <c r="M11" s="65" t="n">
        <v>6</v>
      </c>
      <c r="N11" s="64" t="n">
        <f aca="false">VLOOKUP(M11,AttribCost,2,1)</f>
        <v>9</v>
      </c>
      <c r="O11" s="64" t="n">
        <f aca="false">L11+M11</f>
        <v>16</v>
      </c>
      <c r="P11" s="65" t="n">
        <v>1</v>
      </c>
      <c r="Q11" s="64" t="n">
        <f aca="false">O11+P11</f>
        <v>17</v>
      </c>
      <c r="R11" s="66" t="n">
        <f aca="true">IF(P11&gt;0,OFFSET(CostStat,P11,0)," ")</f>
        <v>800</v>
      </c>
      <c r="T11" s="75" t="s">
        <v>184</v>
      </c>
      <c r="U11" s="75"/>
      <c r="V11" s="76" t="n">
        <v>7</v>
      </c>
      <c r="W11" s="77"/>
      <c r="X11" s="78"/>
      <c r="Z11" s="62" t="s">
        <v>19</v>
      </c>
      <c r="AA11" s="54"/>
      <c r="AB11" s="63" t="n">
        <f aca="false">BI615</f>
        <v>1000</v>
      </c>
      <c r="AC11" s="63"/>
      <c r="CN11" s="32"/>
      <c r="CO11" s="32"/>
    </row>
    <row r="12" customFormat="false" ht="12.75" hidden="false" customHeight="false" outlineLevel="0" collapsed="false">
      <c r="B12" s="53" t="s">
        <v>185</v>
      </c>
      <c r="C12" s="54"/>
      <c r="D12" s="69"/>
      <c r="E12" s="69"/>
      <c r="F12" s="72" t="s">
        <v>186</v>
      </c>
      <c r="G12" s="69"/>
      <c r="H12" s="55"/>
      <c r="I12" s="56"/>
      <c r="J12" s="62" t="s">
        <v>187</v>
      </c>
      <c r="K12" s="54"/>
      <c r="L12" s="64" t="n">
        <f aca="false">RaceWil</f>
        <v>10</v>
      </c>
      <c r="M12" s="65" t="n">
        <v>0</v>
      </c>
      <c r="N12" s="64" t="n">
        <f aca="false">VLOOKUP(M12,AttribCost,2,1)</f>
        <v>0</v>
      </c>
      <c r="O12" s="64" t="n">
        <f aca="false">L12+M12</f>
        <v>10</v>
      </c>
      <c r="P12" s="65"/>
      <c r="Q12" s="64" t="n">
        <f aca="false">O12+P12</f>
        <v>10</v>
      </c>
      <c r="R12" s="66" t="str">
        <f aca="true">IF(P12&gt;0,OFFSET(CostStat,P12,0)," ")</f>
        <v> </v>
      </c>
      <c r="T12" s="79" t="s">
        <v>188</v>
      </c>
      <c r="U12" s="80"/>
      <c r="V12" s="80"/>
      <c r="W12" s="81" t="n">
        <v>171280</v>
      </c>
      <c r="X12" s="81"/>
      <c r="Z12" s="62" t="s">
        <v>189</v>
      </c>
      <c r="AA12" s="54"/>
      <c r="AB12" s="63" t="n">
        <f aca="false">SUM(F698:F713)</f>
        <v>9400</v>
      </c>
      <c r="AC12" s="63"/>
      <c r="CN12" s="32"/>
      <c r="CO12" s="32"/>
    </row>
    <row r="13" customFormat="false" ht="12.75" hidden="false" customHeight="false" outlineLevel="0" collapsed="false">
      <c r="B13" s="82" t="s">
        <v>190</v>
      </c>
      <c r="C13" s="83"/>
      <c r="D13" s="84"/>
      <c r="E13" s="84"/>
      <c r="F13" s="84"/>
      <c r="G13" s="84"/>
      <c r="H13" s="84"/>
      <c r="I13" s="56"/>
      <c r="J13" s="85" t="s">
        <v>191</v>
      </c>
      <c r="K13" s="83"/>
      <c r="L13" s="64" t="n">
        <f aca="false">RaceCha</f>
        <v>10</v>
      </c>
      <c r="M13" s="65" t="n">
        <v>3</v>
      </c>
      <c r="N13" s="64" t="n">
        <f aca="false">VLOOKUP(M13,AttribCost,2,1)</f>
        <v>3</v>
      </c>
      <c r="O13" s="64" t="n">
        <f aca="false">L13+M13</f>
        <v>13</v>
      </c>
      <c r="P13" s="86"/>
      <c r="Q13" s="64" t="n">
        <f aca="false">O13+P13</f>
        <v>13</v>
      </c>
      <c r="R13" s="66" t="str">
        <f aca="true">IF(P13&gt;0,OFFSET(CostStat,P13,0)," ")</f>
        <v> </v>
      </c>
      <c r="T13" s="87" t="s">
        <v>192</v>
      </c>
      <c r="U13" s="54"/>
      <c r="V13" s="54"/>
      <c r="W13" s="88"/>
      <c r="X13" s="88"/>
      <c r="Z13" s="89" t="s">
        <v>193</v>
      </c>
      <c r="AA13" s="54"/>
      <c r="AB13" s="90" t="n">
        <v>235</v>
      </c>
      <c r="AC13" s="63" t="n">
        <f aca="false">IF(ISERROR(AB13*RaceKarmaCost),0,AB13*RaceKarmaCost)</f>
        <v>2350</v>
      </c>
      <c r="CN13" s="32"/>
      <c r="CO13" s="32"/>
    </row>
    <row r="14" customFormat="false" ht="12.75" hidden="false" customHeight="false" outlineLevel="0" collapsed="false">
      <c r="B14" s="91"/>
      <c r="C14" s="92"/>
      <c r="D14" s="84"/>
      <c r="E14" s="84"/>
      <c r="F14" s="84"/>
      <c r="G14" s="84"/>
      <c r="H14" s="84"/>
      <c r="I14" s="56"/>
      <c r="J14" s="93"/>
      <c r="K14" s="94"/>
      <c r="L14" s="94"/>
      <c r="M14" s="95"/>
      <c r="N14" s="95" t="str">
        <f aca="false">SUM(N8:N13) &amp; " of 25"</f>
        <v>25 of 25</v>
      </c>
      <c r="O14" s="94"/>
      <c r="P14" s="95" t="str">
        <f aca="false">SUM(P8:P13)&amp;" of 18"</f>
        <v>3 of 18</v>
      </c>
      <c r="Q14" s="95"/>
      <c r="R14" s="96"/>
      <c r="T14" s="97" t="s">
        <v>194</v>
      </c>
      <c r="U14" s="92"/>
      <c r="V14" s="92"/>
      <c r="W14" s="98" t="n">
        <f aca="false">(W12-AB14)-W13</f>
        <v>15730</v>
      </c>
      <c r="X14" s="98"/>
      <c r="Z14" s="99" t="s">
        <v>142</v>
      </c>
      <c r="AA14" s="100"/>
      <c r="AB14" s="101" t="n">
        <f aca="false">SUM(AB7:AB12)+AC13</f>
        <v>155550</v>
      </c>
      <c r="AC14" s="101"/>
      <c r="CN14" s="32"/>
      <c r="CO14" s="32"/>
    </row>
    <row r="15" customFormat="false" ht="12.75" hidden="false" customHeight="false" outlineLevel="0" collapsed="false">
      <c r="I15" s="102"/>
      <c r="J15" s="102"/>
      <c r="CN15" s="32"/>
      <c r="CO15" s="32"/>
    </row>
    <row r="16" customFormat="false" ht="12.75" hidden="false" customHeight="false" outlineLevel="0" collapsed="false">
      <c r="B16" s="50" t="str">
        <f aca="true">Discipline1&amp;" ("&amp;OFFSET(Numth,Circle1,0)&amp;")"</f>
        <v>Scout_Infiltrator (7th)</v>
      </c>
      <c r="C16" s="51"/>
      <c r="D16" s="51"/>
      <c r="E16" s="58" t="s">
        <v>195</v>
      </c>
      <c r="F16" s="58" t="s">
        <v>196</v>
      </c>
      <c r="G16" s="58" t="s">
        <v>197</v>
      </c>
      <c r="H16" s="58" t="s">
        <v>198</v>
      </c>
      <c r="I16" s="58" t="s">
        <v>199</v>
      </c>
      <c r="J16" s="59" t="s">
        <v>159</v>
      </c>
      <c r="L16" s="103" t="str">
        <f aca="false">IF(Race="Human", "VERSATILITY", "")</f>
        <v>VERSATILITY</v>
      </c>
      <c r="M16" s="103"/>
      <c r="N16" s="103"/>
      <c r="O16" s="58" t="s">
        <v>196</v>
      </c>
      <c r="P16" s="58" t="s">
        <v>197</v>
      </c>
      <c r="Q16" s="59" t="s">
        <v>159</v>
      </c>
      <c r="S16" s="104" t="str">
        <f aca="true">IF(_Dic2,Discipline2&amp;" ("&amp;OFFSET(Numth,Circle2,0)&amp;")","")</f>
        <v>Thief (0th)</v>
      </c>
      <c r="T16" s="105"/>
      <c r="U16" s="105"/>
      <c r="V16" s="106"/>
      <c r="W16" s="106" t="s">
        <v>196</v>
      </c>
      <c r="X16" s="106" t="s">
        <v>197</v>
      </c>
      <c r="Y16" s="106" t="s">
        <v>198</v>
      </c>
      <c r="Z16" s="106" t="s">
        <v>199</v>
      </c>
      <c r="AA16" s="107" t="s">
        <v>159</v>
      </c>
      <c r="AQ16" s="108" t="s">
        <v>200</v>
      </c>
      <c r="AR16" s="109"/>
      <c r="CN16" s="32"/>
      <c r="CO16" s="32"/>
    </row>
    <row r="17" customFormat="false" ht="12.75" hidden="false" customHeight="true" outlineLevel="0" collapsed="false">
      <c r="A17" s="32" t="n">
        <v>1</v>
      </c>
      <c r="B17" s="110" t="str">
        <f aca="false">C616</f>
        <v>Climbing (D)</v>
      </c>
      <c r="C17" s="110"/>
      <c r="D17" s="110"/>
      <c r="E17" s="65" t="n">
        <v>1</v>
      </c>
      <c r="F17" s="65" t="n">
        <v>5</v>
      </c>
      <c r="G17" s="65" t="n">
        <v>0</v>
      </c>
      <c r="H17" s="65"/>
      <c r="I17" s="64" t="str">
        <f aca="false">IF(AND(B17&lt;&gt;" ",OR(E17+F17&lt;1,H17&lt;&gt;"")),"Hidden","")</f>
        <v/>
      </c>
      <c r="J17" s="66" t="n">
        <f aca="true">IF(B17=" "," ",OFFSET(Cost_1_4,F17,0)-OFFSET(Cost_1_4,E17,0))</f>
        <v>1800</v>
      </c>
      <c r="L17" s="111" t="str">
        <f aca="false">IF(Race="Human", "Versatility", "")</f>
        <v>Versatility</v>
      </c>
      <c r="M17" s="111"/>
      <c r="N17" s="111"/>
      <c r="O17" s="65" t="n">
        <v>5</v>
      </c>
      <c r="P17" s="65" t="n">
        <v>0</v>
      </c>
      <c r="Q17" s="66" t="n">
        <f aca="true">IF(Race=Human,OFFSET(Cost_1_4,$O$17,0),"")</f>
        <v>1900</v>
      </c>
      <c r="R17" s="32" t="n">
        <v>1</v>
      </c>
      <c r="S17" s="110" t="str">
        <f aca="false">$C$657</f>
        <v> </v>
      </c>
      <c r="T17" s="110"/>
      <c r="U17" s="110"/>
      <c r="V17" s="110"/>
      <c r="W17" s="65" t="n">
        <v>0</v>
      </c>
      <c r="X17" s="65" t="n">
        <v>0</v>
      </c>
      <c r="Y17" s="65"/>
      <c r="Z17" s="64" t="str">
        <f aca="false">IF(AND($S$17&lt;&gt;" ",OR($W$17&lt;1,$Y$17&lt;&gt;"")),"Hidden","")</f>
        <v/>
      </c>
      <c r="AA17" s="66" t="str">
        <f aca="true">IF(S17=" ","",(OFFSET(Cost_5_8,W17,0))-(OFFSET(Cost_5_8,1,0))+R$608)</f>
        <v/>
      </c>
      <c r="AJ17" s="112" t="n">
        <f aca="true">IF(Race=Human,OFFSET(Cost_1_4,$O$17,0),"")</f>
        <v>1900</v>
      </c>
      <c r="AQ17" s="113" t="str">
        <f aca="false">B17</f>
        <v>Climbing (D)</v>
      </c>
      <c r="AR17" s="114" t="str">
        <f aca="false">S17</f>
        <v> </v>
      </c>
      <c r="CN17" s="32"/>
      <c r="CO17" s="32"/>
    </row>
    <row r="18" customFormat="false" ht="12.75" hidden="false" customHeight="false" outlineLevel="0" collapsed="false">
      <c r="A18" s="32" t="n">
        <v>1</v>
      </c>
      <c r="B18" s="115" t="str">
        <f aca="false">C617</f>
        <v>Karma Ritual</v>
      </c>
      <c r="C18" s="115"/>
      <c r="D18" s="115"/>
      <c r="E18" s="65" t="n">
        <v>2</v>
      </c>
      <c r="F18" s="65" t="n">
        <v>7</v>
      </c>
      <c r="G18" s="65" t="n">
        <v>0</v>
      </c>
      <c r="H18" s="65"/>
      <c r="I18" s="64" t="str">
        <f aca="false">IF(AND(B18&lt;&gt;" ",OR(E18+F18&lt;1,H18&lt;&gt;"")),"Hidden","")</f>
        <v/>
      </c>
      <c r="J18" s="66" t="n">
        <f aca="true">IF(B18=" "," ",OFFSET(Cost_1_4,F18,0)-OFFSET(Cost_1_4,E18,0))</f>
        <v>5000</v>
      </c>
      <c r="L18" s="62" t="str">
        <f aca="false">IF(Race="Human", "Versatility Talents", "Other Talents")</f>
        <v>Versatility Talents</v>
      </c>
      <c r="M18" s="54"/>
      <c r="N18" s="54"/>
      <c r="O18" s="116" t="s">
        <v>196</v>
      </c>
      <c r="P18" s="116" t="s">
        <v>197</v>
      </c>
      <c r="Q18" s="117" t="s">
        <v>159</v>
      </c>
      <c r="R18" s="32" t="n">
        <v>1</v>
      </c>
      <c r="S18" s="115" t="str">
        <f aca="false">C658</f>
        <v> </v>
      </c>
      <c r="T18" s="115"/>
      <c r="U18" s="115"/>
      <c r="V18" s="115"/>
      <c r="W18" s="65" t="n">
        <v>0</v>
      </c>
      <c r="X18" s="65" t="n">
        <v>0</v>
      </c>
      <c r="Y18" s="65"/>
      <c r="Z18" s="64" t="str">
        <f aca="false">IF(AND(S18&lt;&gt;" ",OR(W18&lt;1,Y18&lt;&gt;"")),"Hidden","")</f>
        <v/>
      </c>
      <c r="AA18" s="66" t="str">
        <f aca="true">IF(S18=" ","",(OFFSET(Cost_5_8,W18,0))-(OFFSET(Cost_5_8,1,0))+R$608)</f>
        <v/>
      </c>
      <c r="AJ18" s="56"/>
      <c r="AQ18" s="118" t="str">
        <f aca="false">B18</f>
        <v>Karma Ritual</v>
      </c>
      <c r="AR18" s="119" t="str">
        <f aca="false">S18</f>
        <v> </v>
      </c>
      <c r="CN18" s="32"/>
      <c r="CO18" s="32"/>
    </row>
    <row r="19" customFormat="false" ht="12.75" hidden="false" customHeight="false" outlineLevel="0" collapsed="false">
      <c r="A19" s="32" t="n">
        <v>1</v>
      </c>
      <c r="B19" s="115" t="str">
        <f aca="false">C618</f>
        <v>Search (D)</v>
      </c>
      <c r="C19" s="115"/>
      <c r="D19" s="115"/>
      <c r="E19" s="65" t="n">
        <v>2</v>
      </c>
      <c r="F19" s="65" t="n">
        <v>8</v>
      </c>
      <c r="G19" s="65" t="n">
        <v>0</v>
      </c>
      <c r="H19" s="65"/>
      <c r="I19" s="64" t="str">
        <f aca="false">IF(AND(B19&lt;&gt;" ",OR(E19+F19&lt;1,H19&lt;&gt;"")),"Hidden","")</f>
        <v/>
      </c>
      <c r="J19" s="66" t="n">
        <f aca="true">IF(B19=" "," ",OFFSET(Cost_1_4,F19,0)-OFFSET(Cost_1_4,E19,0))</f>
        <v>8400</v>
      </c>
      <c r="L19" s="120" t="s">
        <v>201</v>
      </c>
      <c r="M19" s="120"/>
      <c r="N19" s="120"/>
      <c r="O19" s="65" t="n">
        <v>5</v>
      </c>
      <c r="P19" s="65" t="n">
        <v>1</v>
      </c>
      <c r="Q19" s="66" t="n">
        <f aca="true">IF(($L$19="")," ",OFFSET(Cost_1_4,$O$19, 0))</f>
        <v>1900</v>
      </c>
      <c r="R19" s="32" t="n">
        <v>1</v>
      </c>
      <c r="S19" s="115" t="str">
        <f aca="false">C659</f>
        <v> </v>
      </c>
      <c r="T19" s="115"/>
      <c r="U19" s="115"/>
      <c r="V19" s="115"/>
      <c r="W19" s="65" t="n">
        <v>0</v>
      </c>
      <c r="X19" s="65" t="n">
        <v>0</v>
      </c>
      <c r="Y19" s="65"/>
      <c r="Z19" s="64" t="str">
        <f aca="false">IF(AND(S19&lt;&gt;" ",OR(W19&lt;1,Y19&lt;&gt;"")),"Hidden","")</f>
        <v/>
      </c>
      <c r="AA19" s="66" t="str">
        <f aca="true">IF(S19=" ","",(OFFSET(Cost_5_8,W19,0))-(OFFSET(Cost_5_8,1,0))+R$608)</f>
        <v/>
      </c>
      <c r="AQ19" s="118" t="str">
        <f aca="false">B19</f>
        <v>Search (D)</v>
      </c>
      <c r="AR19" s="119" t="str">
        <f aca="false">S19</f>
        <v> </v>
      </c>
      <c r="CN19" s="32"/>
      <c r="CO19" s="32"/>
    </row>
    <row r="20" customFormat="false" ht="12.75" hidden="false" customHeight="false" outlineLevel="0" collapsed="false">
      <c r="A20" s="32" t="n">
        <v>1</v>
      </c>
      <c r="B20" s="115" t="str">
        <f aca="false">C619</f>
        <v>Silent Walk (D)</v>
      </c>
      <c r="C20" s="115"/>
      <c r="D20" s="115"/>
      <c r="E20" s="65" t="n">
        <v>2</v>
      </c>
      <c r="F20" s="65" t="n">
        <v>8</v>
      </c>
      <c r="G20" s="65" t="n">
        <v>0</v>
      </c>
      <c r="H20" s="65"/>
      <c r="I20" s="64" t="str">
        <f aca="false">IF(AND(B20&lt;&gt;" ",OR(E20+F20&lt;1,H20&lt;&gt;"")),"Hidden","")</f>
        <v/>
      </c>
      <c r="J20" s="66" t="n">
        <f aca="true">IF(B20=" "," ",OFFSET(Cost_1_4,F20,0)-OFFSET(Cost_1_4,E20,0))</f>
        <v>8400</v>
      </c>
      <c r="K20" s="56"/>
      <c r="L20" s="120" t="s">
        <v>202</v>
      </c>
      <c r="M20" s="120"/>
      <c r="N20" s="120"/>
      <c r="O20" s="65" t="n">
        <v>2</v>
      </c>
      <c r="P20" s="65" t="n">
        <v>0</v>
      </c>
      <c r="Q20" s="66" t="n">
        <f aca="true">IF(($L$20="")," ",OFFSET(Cost_1_4,$O$20, 0))</f>
        <v>300</v>
      </c>
      <c r="R20" s="32" t="n">
        <v>1</v>
      </c>
      <c r="S20" s="115" t="str">
        <f aca="false">C660</f>
        <v> </v>
      </c>
      <c r="T20" s="115"/>
      <c r="U20" s="115"/>
      <c r="V20" s="115"/>
      <c r="W20" s="65" t="n">
        <v>0</v>
      </c>
      <c r="X20" s="65" t="n">
        <v>0</v>
      </c>
      <c r="Y20" s="65"/>
      <c r="Z20" s="64" t="str">
        <f aca="false">IF(AND(S20&lt;&gt;" ",OR(W20&lt;1,Y20&lt;&gt;"")),"Hidden","")</f>
        <v/>
      </c>
      <c r="AA20" s="66" t="str">
        <f aca="true">IF(S20=" ","",(OFFSET(Cost_5_8,W20,0))-(OFFSET(Cost_5_8,1,0))+R$608)</f>
        <v/>
      </c>
      <c r="AQ20" s="118" t="str">
        <f aca="false">B20</f>
        <v>Silent Walk (D)</v>
      </c>
      <c r="AR20" s="119" t="str">
        <f aca="false">S20</f>
        <v> </v>
      </c>
      <c r="CN20" s="32"/>
      <c r="CO20" s="32"/>
    </row>
    <row r="21" customFormat="false" ht="12.75" hidden="false" customHeight="false" outlineLevel="0" collapsed="false">
      <c r="A21" s="32" t="n">
        <v>1</v>
      </c>
      <c r="B21" s="115" t="str">
        <f aca="false">C620</f>
        <v>Tracking (D)</v>
      </c>
      <c r="C21" s="115"/>
      <c r="D21" s="115"/>
      <c r="E21" s="65" t="n">
        <v>1</v>
      </c>
      <c r="F21" s="65" t="n">
        <v>8</v>
      </c>
      <c r="G21" s="65" t="n">
        <v>0</v>
      </c>
      <c r="H21" s="65"/>
      <c r="I21" s="64" t="str">
        <f aca="false">IF(AND(B21&lt;&gt;" ",OR(E21+F21&lt;1,H21&lt;&gt;"")),"Hidden","")</f>
        <v/>
      </c>
      <c r="J21" s="66" t="n">
        <f aca="true">IF(B21=" "," ",OFFSET(Cost_1_4,F21,0)-OFFSET(Cost_1_4,E21,0))</f>
        <v>8600</v>
      </c>
      <c r="K21" s="121"/>
      <c r="L21" s="120" t="s">
        <v>203</v>
      </c>
      <c r="M21" s="120"/>
      <c r="N21" s="120"/>
      <c r="O21" s="65" t="n">
        <v>6</v>
      </c>
      <c r="P21" s="65" t="n">
        <v>0</v>
      </c>
      <c r="Q21" s="66" t="n">
        <f aca="true">IF(($L$21="")," ",OFFSET(Cost_1_4,$O$21, 0))</f>
        <v>3200</v>
      </c>
      <c r="R21" s="32" t="n">
        <v>1</v>
      </c>
      <c r="S21" s="115" t="str">
        <f aca="false">C661</f>
        <v> </v>
      </c>
      <c r="T21" s="115"/>
      <c r="U21" s="115"/>
      <c r="V21" s="115"/>
      <c r="W21" s="65" t="n">
        <v>0</v>
      </c>
      <c r="X21" s="65" t="n">
        <v>0</v>
      </c>
      <c r="Y21" s="65"/>
      <c r="Z21" s="64" t="str">
        <f aca="false">IF(AND(S21&lt;&gt;" ",OR(W21&lt;1,Y21&lt;&gt;"")),"Hidden","")</f>
        <v/>
      </c>
      <c r="AA21" s="66" t="str">
        <f aca="true">IF(S21=" ","",(OFFSET(Cost_5_8,W21,0))-(OFFSET(Cost_5_8,1,0))+R$608)</f>
        <v/>
      </c>
      <c r="AQ21" s="118" t="str">
        <f aca="false">B21</f>
        <v>Tracking (D)</v>
      </c>
      <c r="AR21" s="119" t="str">
        <f aca="false">S21</f>
        <v> </v>
      </c>
      <c r="CN21" s="32"/>
      <c r="CO21" s="32"/>
    </row>
    <row r="22" customFormat="false" ht="12.75" hidden="false" customHeight="false" outlineLevel="0" collapsed="false">
      <c r="A22" s="32" t="n">
        <v>1</v>
      </c>
      <c r="B22" s="115"/>
      <c r="C22" s="115"/>
      <c r="D22" s="115"/>
      <c r="E22" s="65" t="n">
        <v>0</v>
      </c>
      <c r="F22" s="65" t="n">
        <v>0</v>
      </c>
      <c r="G22" s="65" t="n">
        <v>0</v>
      </c>
      <c r="H22" s="65"/>
      <c r="I22" s="64" t="str">
        <f aca="false">IF(AND(B22&lt;&gt;" ",OR(E22+F22&lt;1,H22&lt;&gt;"")),"Hidden","")</f>
        <v>Hidden</v>
      </c>
      <c r="J22" s="66" t="n">
        <f aca="true">IF(B22=" "," ",OFFSET(Cost_1_4,F22,0)-OFFSET(Cost_1_4,E22,0))</f>
        <v>0</v>
      </c>
      <c r="L22" s="120" t="s">
        <v>204</v>
      </c>
      <c r="M22" s="120"/>
      <c r="N22" s="120"/>
      <c r="O22" s="65" t="n">
        <v>5</v>
      </c>
      <c r="P22" s="65" t="n">
        <v>0</v>
      </c>
      <c r="Q22" s="66" t="n">
        <f aca="true">IF(($L$22="")," ",OFFSET(Cost_1_4,$O$22, 0))</f>
        <v>1900</v>
      </c>
      <c r="R22" s="32" t="n">
        <v>1</v>
      </c>
      <c r="S22" s="115" t="str">
        <f aca="false">C662</f>
        <v> </v>
      </c>
      <c r="T22" s="115"/>
      <c r="U22" s="115"/>
      <c r="V22" s="115"/>
      <c r="W22" s="65" t="n">
        <v>0</v>
      </c>
      <c r="X22" s="65" t="n">
        <v>0</v>
      </c>
      <c r="Y22" s="65"/>
      <c r="Z22" s="64" t="str">
        <f aca="false">IF(AND(S22&lt;&gt;" ",OR(W22&lt;1,Y22&lt;&gt;"")),"Hidden","")</f>
        <v/>
      </c>
      <c r="AA22" s="66" t="str">
        <f aca="true">IF(S22=" ","",(OFFSET(Cost_5_8,W22,0))-(OFFSET(Cost_5_8,1,0))+R$608)</f>
        <v/>
      </c>
      <c r="AQ22" s="118" t="n">
        <f aca="false">B22</f>
        <v>0</v>
      </c>
      <c r="AR22" s="119" t="str">
        <f aca="false">S22</f>
        <v> </v>
      </c>
      <c r="CN22" s="32"/>
      <c r="CO22" s="32"/>
    </row>
    <row r="23" customFormat="false" ht="12.8" hidden="false" customHeight="false" outlineLevel="0" collapsed="false">
      <c r="A23" s="32" t="n">
        <v>1</v>
      </c>
      <c r="B23" s="122" t="s">
        <v>205</v>
      </c>
      <c r="C23" s="122"/>
      <c r="D23" s="122"/>
      <c r="E23" s="65" t="n">
        <v>0</v>
      </c>
      <c r="F23" s="65" t="n">
        <v>8</v>
      </c>
      <c r="G23" s="65" t="n">
        <v>0</v>
      </c>
      <c r="H23" s="65"/>
      <c r="I23" s="64" t="str">
        <f aca="false">IF(AND(B23&lt;&gt;" ",OR(E23+F23&lt;1,H23&lt;&gt;"")),"Hidden","")</f>
        <v/>
      </c>
      <c r="J23" s="66" t="n">
        <f aca="true">IF(B23=" "," ",OFFSET(Cost_1_4,F23,0)-OFFSET(Cost_1_4,E23,0))</f>
        <v>8700</v>
      </c>
      <c r="K23" s="56"/>
      <c r="L23" s="120" t="s">
        <v>206</v>
      </c>
      <c r="M23" s="120"/>
      <c r="N23" s="120"/>
      <c r="O23" s="65" t="n">
        <v>1</v>
      </c>
      <c r="P23" s="65" t="n">
        <v>0</v>
      </c>
      <c r="Q23" s="66" t="n">
        <f aca="true">IF(($L$23="")," ",OFFSET(Cost_5_8,$O$23, 0))</f>
        <v>200</v>
      </c>
      <c r="R23" s="32" t="n">
        <v>1</v>
      </c>
      <c r="S23" s="115"/>
      <c r="T23" s="115"/>
      <c r="U23" s="115"/>
      <c r="V23" s="115"/>
      <c r="W23" s="65" t="n">
        <v>0</v>
      </c>
      <c r="X23" s="65" t="n">
        <v>0</v>
      </c>
      <c r="Y23" s="65"/>
      <c r="Z23" s="64" t="str">
        <f aca="false">IF(AND(S23&lt;&gt;" ",OR(W23&lt;1,Y23&lt;&gt;"")),"Hidden","")</f>
        <v>Hidden</v>
      </c>
      <c r="AA23" s="66" t="n">
        <f aca="true">IF(S23=" ","",(OFFSET(Cost_5_8,W23,0))-(OFFSET(Cost_5_8,1,0))+R$608)</f>
        <v>0</v>
      </c>
      <c r="AQ23" s="118" t="str">
        <f aca="false">B23</f>
        <v>Melee Weapons</v>
      </c>
      <c r="AR23" s="119" t="n">
        <f aca="false">S23</f>
        <v>0</v>
      </c>
      <c r="CN23" s="32"/>
      <c r="CO23" s="32"/>
    </row>
    <row r="24" customFormat="false" ht="12.75" hidden="false" customHeight="false" outlineLevel="0" collapsed="false">
      <c r="A24" s="32" t="n">
        <v>2</v>
      </c>
      <c r="B24" s="110" t="str">
        <f aca="false">C623</f>
        <v>Speak Language (D)</v>
      </c>
      <c r="C24" s="110"/>
      <c r="D24" s="110"/>
      <c r="E24" s="110"/>
      <c r="F24" s="65" t="n">
        <v>4</v>
      </c>
      <c r="G24" s="65" t="n">
        <v>0</v>
      </c>
      <c r="H24" s="65"/>
      <c r="I24" s="64" t="str">
        <f aca="false">IF(AND(B24&lt;&gt;" ",OR(F24&lt;1,H24&lt;&gt;"")),"Hidden","")</f>
        <v/>
      </c>
      <c r="J24" s="66" t="n">
        <f aca="true">IF(B24=" "," ",OFFSET(Cost_1_4,F24,0))</f>
        <v>1100</v>
      </c>
      <c r="K24" s="123"/>
      <c r="L24" s="120"/>
      <c r="M24" s="120"/>
      <c r="N24" s="120"/>
      <c r="O24" s="65" t="n">
        <v>0</v>
      </c>
      <c r="P24" s="65" t="n">
        <v>0</v>
      </c>
      <c r="Q24" s="66" t="str">
        <f aca="true">IF(($L$24="")," ",OFFSET(Cost_1_4,$O$24, 0))</f>
        <v> </v>
      </c>
      <c r="R24" s="32" t="n">
        <v>2</v>
      </c>
      <c r="S24" s="110" t="str">
        <f aca="false">C664</f>
        <v> </v>
      </c>
      <c r="T24" s="110"/>
      <c r="U24" s="110"/>
      <c r="V24" s="110"/>
      <c r="W24" s="65" t="n">
        <v>0</v>
      </c>
      <c r="X24" s="65" t="n">
        <v>0</v>
      </c>
      <c r="Y24" s="65"/>
      <c r="Z24" s="64" t="str">
        <f aca="false">IF(AND(S24&lt;&gt;" ",OR(W24&lt;1,Y24&lt;&gt;"")),"Hidden","")</f>
        <v/>
      </c>
      <c r="AA24" s="66" t="str">
        <f aca="true">IF(S24=" ","",(OFFSET(Cost_5_8,W24,0))-(OFFSET(Cost_5_8,1,0))+R$608)</f>
        <v/>
      </c>
      <c r="AQ24" s="118" t="str">
        <f aca="false">B24</f>
        <v>Speak Language (D)</v>
      </c>
      <c r="AR24" s="119" t="str">
        <f aca="false">S24</f>
        <v> </v>
      </c>
      <c r="CN24" s="32"/>
      <c r="CO24" s="32"/>
    </row>
    <row r="25" customFormat="false" ht="12.75" hidden="false" customHeight="false" outlineLevel="0" collapsed="false">
      <c r="A25" s="32" t="n">
        <v>2</v>
      </c>
      <c r="B25" s="115" t="s">
        <v>207</v>
      </c>
      <c r="C25" s="115"/>
      <c r="D25" s="115"/>
      <c r="E25" s="115"/>
      <c r="F25" s="65" t="n">
        <v>8</v>
      </c>
      <c r="G25" s="65" t="n">
        <v>0</v>
      </c>
      <c r="H25" s="65"/>
      <c r="I25" s="64" t="str">
        <f aca="false">IF(AND(B25&lt;&gt;" ",OR(F25&lt;1,H25&lt;&gt;"")),"Hidden","")</f>
        <v/>
      </c>
      <c r="J25" s="66" t="n">
        <f aca="true">IF(B25=" "," ",OFFSET(Cost_1_4,F25,0))</f>
        <v>8700</v>
      </c>
      <c r="K25" s="123"/>
      <c r="L25" s="120"/>
      <c r="M25" s="120"/>
      <c r="N25" s="120"/>
      <c r="O25" s="65" t="n">
        <v>0</v>
      </c>
      <c r="P25" s="65" t="n">
        <v>0</v>
      </c>
      <c r="Q25" s="66" t="str">
        <f aca="true">IF(($L$25="")," ",OFFSET(Cost_1_4,$O$25, 0))</f>
        <v> </v>
      </c>
      <c r="R25" s="32" t="n">
        <v>2</v>
      </c>
      <c r="S25" s="115"/>
      <c r="T25" s="115"/>
      <c r="U25" s="115"/>
      <c r="V25" s="115"/>
      <c r="W25" s="65" t="n">
        <v>0</v>
      </c>
      <c r="X25" s="65" t="n">
        <v>0</v>
      </c>
      <c r="Y25" s="65"/>
      <c r="Z25" s="64" t="str">
        <f aca="false">IF(AND(S25&lt;&gt;" ",OR(W25&lt;1,Y25&lt;&gt;"")),"Hidden","")</f>
        <v>Hidden</v>
      </c>
      <c r="AA25" s="66" t="n">
        <f aca="true">IF(S25=" ","",(OFFSET(Cost_5_8,W25,0))-(OFFSET(Cost_5_8,1,0))+R$608)</f>
        <v>0</v>
      </c>
      <c r="AQ25" s="118" t="str">
        <f aca="false">B25</f>
        <v>Durability</v>
      </c>
      <c r="AR25" s="119" t="n">
        <f aca="false">S25</f>
        <v>0</v>
      </c>
      <c r="CN25" s="32"/>
      <c r="CO25" s="32"/>
    </row>
    <row r="26" customFormat="false" ht="12.75" hidden="false" customHeight="false" outlineLevel="0" collapsed="false">
      <c r="A26" s="32" t="n">
        <v>2</v>
      </c>
      <c r="B26" s="122"/>
      <c r="C26" s="122"/>
      <c r="D26" s="122"/>
      <c r="E26" s="122"/>
      <c r="F26" s="65" t="n">
        <v>0</v>
      </c>
      <c r="G26" s="65" t="n">
        <v>0</v>
      </c>
      <c r="H26" s="65"/>
      <c r="I26" s="64" t="str">
        <f aca="false">IF(AND(B26&lt;&gt;" ",OR(F26&lt;1,H26&lt;&gt;"")),"Hidden","")</f>
        <v>Hidden</v>
      </c>
      <c r="J26" s="66" t="n">
        <f aca="true">IF(B26=" "," ",OFFSET(Cost_1_4,F26,0))</f>
        <v>0</v>
      </c>
      <c r="L26" s="120"/>
      <c r="M26" s="120"/>
      <c r="N26" s="120"/>
      <c r="O26" s="65" t="n">
        <v>0</v>
      </c>
      <c r="P26" s="65" t="n">
        <v>0</v>
      </c>
      <c r="Q26" s="66" t="str">
        <f aca="true">IF(($L$26="")," ",OFFSET(Cost_1_4,$O$26, 0))</f>
        <v> </v>
      </c>
      <c r="R26" s="32" t="n">
        <v>2</v>
      </c>
      <c r="S26" s="115"/>
      <c r="T26" s="115"/>
      <c r="U26" s="115"/>
      <c r="V26" s="115"/>
      <c r="W26" s="65" t="n">
        <v>0</v>
      </c>
      <c r="X26" s="65" t="n">
        <v>0</v>
      </c>
      <c r="Y26" s="65"/>
      <c r="Z26" s="64" t="str">
        <f aca="false">IF(AND(S26&lt;&gt;" ",OR(W26&lt;1,Y26&lt;&gt;"")),"Hidden","")</f>
        <v>Hidden</v>
      </c>
      <c r="AA26" s="66" t="n">
        <f aca="true">IF(S26=" ","",(OFFSET(Cost_5_8,W26,0))-(OFFSET(Cost_5_8,1,0))+R$608)</f>
        <v>0</v>
      </c>
      <c r="AQ26" s="118" t="n">
        <f aca="false">B26</f>
        <v>0</v>
      </c>
      <c r="AR26" s="119" t="n">
        <f aca="false">S26</f>
        <v>0</v>
      </c>
      <c r="CN26" s="32"/>
      <c r="CO26" s="32"/>
    </row>
    <row r="27" customFormat="false" ht="12.75" hidden="false" customHeight="false" outlineLevel="0" collapsed="false">
      <c r="A27" s="32" t="n">
        <v>3</v>
      </c>
      <c r="B27" s="110" t="str">
        <f aca="false">C626</f>
        <v>Disguise Self (D)</v>
      </c>
      <c r="C27" s="110"/>
      <c r="D27" s="110"/>
      <c r="E27" s="110"/>
      <c r="F27" s="65" t="n">
        <v>8</v>
      </c>
      <c r="G27" s="65" t="n">
        <v>0</v>
      </c>
      <c r="H27" s="65"/>
      <c r="I27" s="64" t="str">
        <f aca="false">IF(AND(B27&lt;&gt;" ",OR(F27&lt;1,H27&lt;&gt;"")),"Hidden","")</f>
        <v/>
      </c>
      <c r="J27" s="66" t="n">
        <f aca="true">IF(B27=" "," ",OFFSET(Cost_1_4,F27,0))</f>
        <v>8700</v>
      </c>
      <c r="K27" s="56"/>
      <c r="L27" s="120"/>
      <c r="M27" s="120"/>
      <c r="N27" s="120"/>
      <c r="O27" s="65" t="n">
        <v>0</v>
      </c>
      <c r="P27" s="65" t="n">
        <v>0</v>
      </c>
      <c r="Q27" s="66" t="str">
        <f aca="true">IF(($L$27="")," ",OFFSET(Cost_1_4,$O$27, 0))</f>
        <v> </v>
      </c>
      <c r="R27" s="32" t="n">
        <v>3</v>
      </c>
      <c r="S27" s="110" t="str">
        <f aca="false">C667</f>
        <v> </v>
      </c>
      <c r="T27" s="110"/>
      <c r="U27" s="110"/>
      <c r="V27" s="110"/>
      <c r="W27" s="65" t="n">
        <v>0</v>
      </c>
      <c r="X27" s="65" t="n">
        <v>0</v>
      </c>
      <c r="Y27" s="65"/>
      <c r="Z27" s="64" t="str">
        <f aca="false">IF(AND(S27&lt;&gt;" ",OR(W27&lt;1,Y27&lt;&gt;"")),"Hidden","")</f>
        <v/>
      </c>
      <c r="AA27" s="66" t="str">
        <f aca="true">IF(S27=" ","",(OFFSET(Cost_5_8,W27,0))-(OFFSET(Cost_5_8,1,0))+R$608)</f>
        <v/>
      </c>
      <c r="AQ27" s="118" t="str">
        <f aca="false">B27</f>
        <v>Disguise Self (D)</v>
      </c>
      <c r="AR27" s="119" t="str">
        <f aca="false">S27</f>
        <v> </v>
      </c>
      <c r="CN27" s="32"/>
      <c r="CO27" s="32"/>
    </row>
    <row r="28" customFormat="false" ht="12.75" hidden="false" customHeight="false" outlineLevel="0" collapsed="false">
      <c r="A28" s="32" t="n">
        <v>3</v>
      </c>
      <c r="B28" s="122" t="s">
        <v>208</v>
      </c>
      <c r="C28" s="122"/>
      <c r="D28" s="122"/>
      <c r="E28" s="122"/>
      <c r="F28" s="65" t="n">
        <v>8</v>
      </c>
      <c r="G28" s="65" t="n">
        <v>1</v>
      </c>
      <c r="H28" s="65"/>
      <c r="I28" s="64" t="str">
        <f aca="false">IF(AND(B28&lt;&gt;" ",OR(F28&lt;1,H28&lt;&gt;"")),"Hidden","")</f>
        <v/>
      </c>
      <c r="J28" s="66" t="n">
        <f aca="true">IF(B28=" "," ",OFFSET(Cost_1_4,F28,0))</f>
        <v>8700</v>
      </c>
      <c r="K28" s="6"/>
      <c r="L28" s="120"/>
      <c r="M28" s="120"/>
      <c r="N28" s="120"/>
      <c r="O28" s="65" t="n">
        <v>0</v>
      </c>
      <c r="P28" s="65" t="n">
        <v>0</v>
      </c>
      <c r="Q28" s="66" t="str">
        <f aca="true">IF(($L$28="")," ",OFFSET(Cost_1_4,$O$28, 0))</f>
        <v> </v>
      </c>
      <c r="R28" s="32" t="n">
        <v>3</v>
      </c>
      <c r="S28" s="115"/>
      <c r="T28" s="115"/>
      <c r="U28" s="115"/>
      <c r="V28" s="115"/>
      <c r="W28" s="65" t="n">
        <v>0</v>
      </c>
      <c r="X28" s="65" t="n">
        <v>0</v>
      </c>
      <c r="Y28" s="65"/>
      <c r="Z28" s="64" t="str">
        <f aca="false">IF(AND(S28&lt;&gt;" ",OR(W28&lt;1,Y28&lt;&gt;"")),"Hidden","")</f>
        <v>Hidden</v>
      </c>
      <c r="AA28" s="66" t="n">
        <f aca="true">IF(S28=" ","",(OFFSET(Cost_5_8,W28,0))-(OFFSET(Cost_5_8,1,0))+R$608)</f>
        <v>0</v>
      </c>
      <c r="AQ28" s="118" t="str">
        <f aca="false">B28</f>
        <v>Detect Trap</v>
      </c>
      <c r="AR28" s="119" t="n">
        <f aca="false">S28</f>
        <v>0</v>
      </c>
      <c r="CN28" s="32"/>
      <c r="CO28" s="32"/>
    </row>
    <row r="29" customFormat="false" ht="12.75" hidden="false" customHeight="false" outlineLevel="0" collapsed="false">
      <c r="A29" s="32" t="n">
        <v>4</v>
      </c>
      <c r="B29" s="110" t="str">
        <f aca="false">C628</f>
        <v>Thread Weaving (Scout) (D)</v>
      </c>
      <c r="C29" s="110"/>
      <c r="D29" s="110"/>
      <c r="E29" s="110"/>
      <c r="F29" s="65" t="n">
        <v>6</v>
      </c>
      <c r="G29" s="65" t="n">
        <v>0</v>
      </c>
      <c r="H29" s="65"/>
      <c r="I29" s="64" t="str">
        <f aca="false">IF(AND(B29&lt;&gt;" ",OR(F29&lt;1,H29&lt;&gt;"")),"Hidden","")</f>
        <v/>
      </c>
      <c r="J29" s="66" t="n">
        <f aca="true">IF(B29=" "," ",OFFSET(Cost_1_4,F29,0))</f>
        <v>3200</v>
      </c>
      <c r="K29" s="6"/>
      <c r="L29" s="120"/>
      <c r="M29" s="120"/>
      <c r="N29" s="120"/>
      <c r="O29" s="65" t="n">
        <v>0</v>
      </c>
      <c r="P29" s="65" t="n">
        <v>0</v>
      </c>
      <c r="Q29" s="66" t="str">
        <f aca="true">IF(($L$29="")," ",OFFSET(Cost_1_4,$O$29, 0))</f>
        <v> </v>
      </c>
      <c r="R29" s="32" t="n">
        <v>4</v>
      </c>
      <c r="S29" s="110" t="str">
        <f aca="false">C669</f>
        <v> </v>
      </c>
      <c r="T29" s="110"/>
      <c r="U29" s="110"/>
      <c r="V29" s="110"/>
      <c r="W29" s="65" t="n">
        <v>0</v>
      </c>
      <c r="X29" s="65" t="n">
        <v>0</v>
      </c>
      <c r="Y29" s="65"/>
      <c r="Z29" s="64" t="str">
        <f aca="false">IF(AND(S29&lt;&gt;" ",OR(W29&lt;1,Y29&lt;&gt;"")),"Hidden","")</f>
        <v/>
      </c>
      <c r="AA29" s="66" t="str">
        <f aca="true">IF(S29=" ","",(OFFSET(Cost_5_8,W29,0))-(OFFSET(Cost_5_8,1,0))+R$608)</f>
        <v/>
      </c>
      <c r="AQ29" s="118" t="str">
        <f aca="false">B29</f>
        <v>Thread Weaving (Scout) (D)</v>
      </c>
      <c r="AR29" s="119" t="str">
        <f aca="false">S29</f>
        <v> </v>
      </c>
      <c r="CN29" s="32"/>
      <c r="CO29" s="32"/>
    </row>
    <row r="30" customFormat="false" ht="12.75" hidden="false" customHeight="false" outlineLevel="0" collapsed="false">
      <c r="A30" s="32" t="n">
        <v>4</v>
      </c>
      <c r="B30" s="122" t="s">
        <v>209</v>
      </c>
      <c r="C30" s="122"/>
      <c r="D30" s="122"/>
      <c r="E30" s="122"/>
      <c r="F30" s="65" t="n">
        <v>6</v>
      </c>
      <c r="G30" s="65" t="n">
        <v>0</v>
      </c>
      <c r="H30" s="65"/>
      <c r="I30" s="64" t="str">
        <f aca="false">IF(AND(B30&lt;&gt;" ",OR(F30&lt;1,H30&lt;&gt;"")),"Hidden","")</f>
        <v/>
      </c>
      <c r="J30" s="66" t="n">
        <f aca="true">IF(B30=" "," ",OFFSET(Cost_1_4,F30,0))</f>
        <v>3200</v>
      </c>
      <c r="K30" s="6"/>
      <c r="L30" s="120"/>
      <c r="M30" s="120"/>
      <c r="N30" s="120"/>
      <c r="O30" s="65" t="n">
        <v>0</v>
      </c>
      <c r="P30" s="65" t="n">
        <v>0</v>
      </c>
      <c r="Q30" s="66" t="str">
        <f aca="true">IF(($L$30="")," ",OFFSET(Cost_1_4,$O$30, 0))</f>
        <v> </v>
      </c>
      <c r="R30" s="32" t="n">
        <v>4</v>
      </c>
      <c r="S30" s="115"/>
      <c r="T30" s="115"/>
      <c r="U30" s="115"/>
      <c r="V30" s="115"/>
      <c r="W30" s="65" t="n">
        <v>0</v>
      </c>
      <c r="X30" s="65" t="n">
        <v>0</v>
      </c>
      <c r="Y30" s="65"/>
      <c r="Z30" s="64" t="str">
        <f aca="false">IF(AND(S30&lt;&gt;" ",OR(W30&lt;1,Y30&lt;&gt;"")),"Hidden","")</f>
        <v>Hidden</v>
      </c>
      <c r="AA30" s="66" t="n">
        <f aca="true">IF(S30=" ","",(OFFSET(Cost_5_8,W30,0))-(OFFSET(Cost_5_8,1,0))+R$608)</f>
        <v>0</v>
      </c>
      <c r="AQ30" s="118" t="str">
        <f aca="false">B30</f>
        <v>Great Leap</v>
      </c>
      <c r="AR30" s="119" t="n">
        <f aca="false">S30</f>
        <v>0</v>
      </c>
      <c r="CN30" s="32"/>
      <c r="CO30" s="32"/>
    </row>
    <row r="31" customFormat="false" ht="12.75" hidden="false" customHeight="false" outlineLevel="0" collapsed="false">
      <c r="A31" s="32" t="n">
        <v>5</v>
      </c>
      <c r="B31" s="110" t="str">
        <f aca="false">C630</f>
        <v>Evidence Analysis (D)</v>
      </c>
      <c r="C31" s="110"/>
      <c r="D31" s="110"/>
      <c r="E31" s="110"/>
      <c r="F31" s="65" t="n">
        <v>1</v>
      </c>
      <c r="G31" s="65" t="n">
        <v>0</v>
      </c>
      <c r="H31" s="65"/>
      <c r="I31" s="64" t="str">
        <f aca="false">IF(AND(B31&lt;&gt;" ",OR(F31&lt;1,H31&lt;&gt;"")),"Hidden","")</f>
        <v/>
      </c>
      <c r="J31" s="66" t="n">
        <f aca="true">IF(B31=" "," ",OFFSET(Cost_5_8,F31,0))</f>
        <v>200</v>
      </c>
      <c r="K31" s="6"/>
      <c r="L31" s="120"/>
      <c r="M31" s="120"/>
      <c r="N31" s="120"/>
      <c r="O31" s="65" t="n">
        <v>0</v>
      </c>
      <c r="P31" s="65" t="n">
        <v>0</v>
      </c>
      <c r="Q31" s="66" t="str">
        <f aca="true">IF(($L$31="")," ",OFFSET(Cost_1_4,$O$31, 0))</f>
        <v> </v>
      </c>
      <c r="R31" s="32" t="n">
        <v>5</v>
      </c>
      <c r="S31" s="110" t="str">
        <f aca="false">C671</f>
        <v> </v>
      </c>
      <c r="T31" s="110"/>
      <c r="U31" s="110"/>
      <c r="V31" s="110"/>
      <c r="W31" s="65" t="n">
        <v>0</v>
      </c>
      <c r="X31" s="65" t="n">
        <v>0</v>
      </c>
      <c r="Y31" s="65"/>
      <c r="Z31" s="64" t="str">
        <f aca="false">IF(AND(S31&lt;&gt;" ",OR(W31&lt;1,Y31&lt;&gt;"")),"Hidden","")</f>
        <v/>
      </c>
      <c r="AA31" s="66" t="str">
        <f aca="true">IF(S31=" ","",(OFFSET(Cost_5_8,W31,0))-(OFFSET(Cost_5_8,1,0))+R$608)</f>
        <v/>
      </c>
      <c r="AQ31" s="118" t="str">
        <f aca="false">B31</f>
        <v>Evidence Analysis (D)</v>
      </c>
      <c r="AR31" s="119" t="str">
        <f aca="false">S31</f>
        <v> </v>
      </c>
      <c r="CN31" s="32"/>
      <c r="CO31" s="32"/>
    </row>
    <row r="32" customFormat="false" ht="12.75" hidden="false" customHeight="false" outlineLevel="0" collapsed="false">
      <c r="A32" s="32" t="n">
        <v>5</v>
      </c>
      <c r="B32" s="115" t="s">
        <v>210</v>
      </c>
      <c r="C32" s="115"/>
      <c r="D32" s="115"/>
      <c r="E32" s="115"/>
      <c r="F32" s="65" t="n">
        <v>8</v>
      </c>
      <c r="G32" s="65" t="n">
        <v>1</v>
      </c>
      <c r="H32" s="65"/>
      <c r="I32" s="64" t="str">
        <f aca="false">IF(AND(B32&lt;&gt;" ",OR(F32&lt;1,H32&lt;&gt;"")),"Hidden","")</f>
        <v/>
      </c>
      <c r="J32" s="66" t="n">
        <f aca="true">IF(B32=" "," ",OFFSET(Cost_5_8,F32,0))</f>
        <v>14100</v>
      </c>
      <c r="K32" s="124"/>
      <c r="L32" s="120"/>
      <c r="M32" s="120"/>
      <c r="N32" s="120"/>
      <c r="O32" s="65" t="n">
        <v>0</v>
      </c>
      <c r="P32" s="65" t="n">
        <v>0</v>
      </c>
      <c r="Q32" s="66" t="str">
        <f aca="true">IF(($L$32="")," ",OFFSET(Cost_1_4,$O$32, 0))</f>
        <v> </v>
      </c>
      <c r="R32" s="32" t="n">
        <v>5</v>
      </c>
      <c r="S32" s="115"/>
      <c r="T32" s="115"/>
      <c r="U32" s="115"/>
      <c r="V32" s="115"/>
      <c r="W32" s="65" t="n">
        <v>0</v>
      </c>
      <c r="X32" s="65" t="n">
        <v>0</v>
      </c>
      <c r="Y32" s="65"/>
      <c r="Z32" s="64" t="str">
        <f aca="false">IF(AND(S32&lt;&gt;" ",OR(W32&lt;1,Y32&lt;&gt;"")),"Hidden","")</f>
        <v>Hidden</v>
      </c>
      <c r="AA32" s="66" t="n">
        <f aca="true">IF(S32=" ","",(OFFSET(Cost_5_8,W32,0))-(OFFSET(Cost_5_8,1,0))+R$608)</f>
        <v>0</v>
      </c>
      <c r="AQ32" s="118" t="str">
        <f aca="false">B32</f>
        <v>Disarm Trap</v>
      </c>
      <c r="AR32" s="119" t="n">
        <f aca="false">S32</f>
        <v>0</v>
      </c>
      <c r="CN32" s="32"/>
      <c r="CO32" s="32"/>
    </row>
    <row r="33" customFormat="false" ht="12.75" hidden="false" customHeight="false" outlineLevel="0" collapsed="false">
      <c r="A33" s="32" t="n">
        <v>5</v>
      </c>
      <c r="B33" s="115"/>
      <c r="C33" s="115"/>
      <c r="D33" s="115"/>
      <c r="E33" s="115"/>
      <c r="F33" s="65" t="n">
        <v>0</v>
      </c>
      <c r="G33" s="65" t="n">
        <v>0</v>
      </c>
      <c r="H33" s="65"/>
      <c r="I33" s="64" t="str">
        <f aca="false">IF(AND(B33&lt;&gt;" ",OR(F33&lt;1,H33&lt;&gt;"")),"Hidden","")</f>
        <v>Hidden</v>
      </c>
      <c r="J33" s="66" t="n">
        <f aca="true">IF(B33=" "," ",OFFSET(Cost_5_8,F33,0))</f>
        <v>0</v>
      </c>
      <c r="L33" s="125"/>
      <c r="M33" s="125"/>
      <c r="N33" s="125"/>
      <c r="O33" s="86" t="n">
        <v>0</v>
      </c>
      <c r="P33" s="86" t="n">
        <v>0</v>
      </c>
      <c r="Q33" s="126" t="str">
        <f aca="true">IF(($L$33="")," ",OFFSET(Cost_1_4,$O33, 0))</f>
        <v> </v>
      </c>
      <c r="R33" s="32" t="n">
        <v>5</v>
      </c>
      <c r="S33" s="115"/>
      <c r="T33" s="115"/>
      <c r="U33" s="115"/>
      <c r="V33" s="115"/>
      <c r="W33" s="65" t="n">
        <v>0</v>
      </c>
      <c r="X33" s="65" t="n">
        <v>0</v>
      </c>
      <c r="Y33" s="65"/>
      <c r="Z33" s="64" t="str">
        <f aca="false">IF(AND(S33&lt;&gt;" ",OR(W33&lt;1,Y33&lt;&gt;"")),"Hidden","")</f>
        <v>Hidden</v>
      </c>
      <c r="AA33" s="66" t="n">
        <f aca="true">IF(S33=" ","",(OFFSET(Cost_5_8,W33,0))-(OFFSET(Cost_5_8,1,0))+R$608)</f>
        <v>0</v>
      </c>
      <c r="AL33" s="42"/>
      <c r="AQ33" s="118" t="n">
        <f aca="false">B33</f>
        <v>0</v>
      </c>
      <c r="AR33" s="119" t="n">
        <f aca="false">S33</f>
        <v>0</v>
      </c>
      <c r="CN33" s="32"/>
      <c r="CO33" s="32"/>
    </row>
    <row r="34" customFormat="false" ht="13.5" hidden="false" customHeight="true" outlineLevel="0" collapsed="false">
      <c r="A34" s="32" t="n">
        <v>6</v>
      </c>
      <c r="B34" s="110" t="str">
        <f aca="false">C633</f>
        <v>Astral Sight (D)</v>
      </c>
      <c r="C34" s="110"/>
      <c r="D34" s="110"/>
      <c r="E34" s="110"/>
      <c r="F34" s="65" t="n">
        <v>8</v>
      </c>
      <c r="G34" s="65" t="n">
        <v>0</v>
      </c>
      <c r="H34" s="65"/>
      <c r="I34" s="64" t="str">
        <f aca="false">IF(AND(B34&lt;&gt;" ",OR(F34&lt;1,H34&lt;&gt;"")),"Hidden","")</f>
        <v/>
      </c>
      <c r="J34" s="64" t="n">
        <f aca="true">IF(B34=" "," ",OFFSET(Cost_5_8,F34,0))</f>
        <v>14100</v>
      </c>
      <c r="K34" s="127" t="s">
        <v>211</v>
      </c>
      <c r="L34" s="127"/>
      <c r="M34" s="128" t="s">
        <v>212</v>
      </c>
      <c r="N34" s="129" t="s">
        <v>213</v>
      </c>
      <c r="O34" s="130" t="s">
        <v>214</v>
      </c>
      <c r="P34" s="130" t="s">
        <v>215</v>
      </c>
      <c r="Q34" s="131" t="s">
        <v>159</v>
      </c>
      <c r="R34" s="32" t="n">
        <v>6</v>
      </c>
      <c r="S34" s="110" t="str">
        <f aca="false">C674</f>
        <v> </v>
      </c>
      <c r="T34" s="110"/>
      <c r="U34" s="110"/>
      <c r="V34" s="110"/>
      <c r="W34" s="65" t="n">
        <v>0</v>
      </c>
      <c r="X34" s="65" t="n">
        <v>0</v>
      </c>
      <c r="Y34" s="65"/>
      <c r="Z34" s="64" t="str">
        <f aca="false">IF(AND(S34&lt;&gt;" ",OR(W34&lt;1,Y34&lt;&gt;"")),"Hidden","")</f>
        <v/>
      </c>
      <c r="AA34" s="66" t="str">
        <f aca="true">IF(S34=" ","",(OFFSET(Cost_5_8,W34,0))-(OFFSET(Cost_5_8,1,0))+R$608)</f>
        <v/>
      </c>
      <c r="AL34" s="42"/>
      <c r="AQ34" s="118" t="str">
        <f aca="false">B34</f>
        <v>Astral Sight (D)</v>
      </c>
      <c r="AR34" s="119" t="str">
        <f aca="false">S34</f>
        <v> </v>
      </c>
      <c r="CN34" s="32"/>
      <c r="CO34" s="32"/>
    </row>
    <row r="35" customFormat="false" ht="12.75" hidden="false" customHeight="false" outlineLevel="0" collapsed="false">
      <c r="A35" s="32" t="n">
        <v>6</v>
      </c>
      <c r="B35" s="115" t="s">
        <v>216</v>
      </c>
      <c r="C35" s="115"/>
      <c r="D35" s="115"/>
      <c r="E35" s="115"/>
      <c r="F35" s="65" t="n">
        <v>8</v>
      </c>
      <c r="G35" s="65" t="n">
        <v>1</v>
      </c>
      <c r="H35" s="65"/>
      <c r="I35" s="64" t="str">
        <f aca="false">IF(AND(B35&lt;&gt;" ",OR(F35&lt;1,H35&lt;&gt;"")),"Hidden","")</f>
        <v/>
      </c>
      <c r="J35" s="64" t="n">
        <f aca="true">IF(B35=" "," ",OFFSET(Cost_5_8,F35,0))</f>
        <v>14100</v>
      </c>
      <c r="K35" s="127"/>
      <c r="L35" s="127"/>
      <c r="M35" s="128"/>
      <c r="N35" s="129"/>
      <c r="O35" s="130"/>
      <c r="P35" s="130"/>
      <c r="Q35" s="131"/>
      <c r="R35" s="32" t="n">
        <v>6</v>
      </c>
      <c r="S35" s="115"/>
      <c r="T35" s="115"/>
      <c r="U35" s="115"/>
      <c r="V35" s="115"/>
      <c r="W35" s="65" t="n">
        <v>0</v>
      </c>
      <c r="X35" s="65" t="n">
        <v>0</v>
      </c>
      <c r="Y35" s="65"/>
      <c r="Z35" s="64" t="str">
        <f aca="false">IF(AND(S35&lt;&gt;" ",OR(W35&lt;1,Y35&lt;&gt;"")),"Hidden","")</f>
        <v>Hidden</v>
      </c>
      <c r="AA35" s="66" t="n">
        <f aca="true">IF(S35=" ","",(OFFSET(Cost_5_8,W35,0))-(OFFSET(Cost_5_8,1,0))+R$608)</f>
        <v>0</v>
      </c>
      <c r="AL35" s="42"/>
      <c r="AQ35" s="118" t="str">
        <f aca="false">B35</f>
        <v>Lock Picking</v>
      </c>
      <c r="AR35" s="119" t="n">
        <f aca="false">S35</f>
        <v>0</v>
      </c>
      <c r="CN35" s="32"/>
      <c r="CO35" s="32"/>
    </row>
    <row r="36" customFormat="false" ht="12.75" hidden="false" customHeight="false" outlineLevel="0" collapsed="false">
      <c r="A36" s="32" t="n">
        <v>7</v>
      </c>
      <c r="B36" s="110" t="str">
        <f aca="false">C635</f>
        <v>Empathic Sense (D)</v>
      </c>
      <c r="C36" s="110"/>
      <c r="D36" s="110"/>
      <c r="E36" s="110"/>
      <c r="F36" s="65" t="n">
        <v>8</v>
      </c>
      <c r="G36" s="65" t="n">
        <v>0</v>
      </c>
      <c r="H36" s="65"/>
      <c r="I36" s="64" t="str">
        <f aca="false">IF(AND(B36&lt;&gt;" ",OR(F36&lt;1,H36&lt;&gt;"")),"Hidden","")</f>
        <v/>
      </c>
      <c r="J36" s="64" t="n">
        <f aca="true">IF(B36=" "," ",OFFSET(Cost_5_8,F36,0))</f>
        <v>14100</v>
      </c>
      <c r="K36" s="132" t="str">
        <f aca="true">IF(BF617,OFFSET(AX$616,BF617,0),"")</f>
        <v>Braiding Threads</v>
      </c>
      <c r="L36" s="132"/>
      <c r="M36" s="133" t="s">
        <v>217</v>
      </c>
      <c r="N36" s="133"/>
      <c r="O36" s="134" t="n">
        <f aca="true">IF(BF617,OFFSET(BB$616,BF617,0)," ")</f>
        <v>5</v>
      </c>
      <c r="P36" s="134" t="str">
        <f aca="false">IF(M36="N",O36+2,"")</f>
        <v/>
      </c>
      <c r="Q36" s="135" t="n">
        <f aca="false">IF(M36="Y",VLOOKUP(K36,KnackCost,6,0),VLOOKUP(K36,KnackCost,5,0))</f>
        <v>800</v>
      </c>
      <c r="R36" s="32" t="n">
        <v>7</v>
      </c>
      <c r="S36" s="110" t="str">
        <f aca="false">C676</f>
        <v> </v>
      </c>
      <c r="T36" s="110"/>
      <c r="U36" s="110"/>
      <c r="V36" s="110"/>
      <c r="W36" s="65" t="n">
        <v>0</v>
      </c>
      <c r="X36" s="65" t="n">
        <v>0</v>
      </c>
      <c r="Y36" s="65"/>
      <c r="Z36" s="64" t="str">
        <f aca="false">IF(AND(S36&lt;&gt;" ",OR(W36&lt;1,Y36&lt;&gt;"")),"Hidden","")</f>
        <v/>
      </c>
      <c r="AA36" s="66" t="str">
        <f aca="true">IF(S36=" ","",(OFFSET(Cost_5_8,W36,0))-(OFFSET(Cost_5_8,1,0))+R$608)</f>
        <v/>
      </c>
      <c r="AL36" s="42"/>
      <c r="AQ36" s="118" t="str">
        <f aca="false">B36</f>
        <v>Empathic Sense (D)</v>
      </c>
      <c r="AR36" s="119" t="str">
        <f aca="false">S36</f>
        <v> </v>
      </c>
      <c r="CN36" s="32"/>
      <c r="CO36" s="32"/>
    </row>
    <row r="37" customFormat="false" ht="12.75" hidden="false" customHeight="false" outlineLevel="0" collapsed="false">
      <c r="A37" s="32" t="n">
        <v>7</v>
      </c>
      <c r="B37" s="115" t="s">
        <v>218</v>
      </c>
      <c r="C37" s="115"/>
      <c r="D37" s="115"/>
      <c r="E37" s="115"/>
      <c r="F37" s="65" t="n">
        <v>4</v>
      </c>
      <c r="G37" s="65" t="n">
        <v>0</v>
      </c>
      <c r="H37" s="65"/>
      <c r="I37" s="64" t="str">
        <f aca="false">IF(AND(B37&lt;&gt;" ",OR(F37&lt;1,H37&lt;&gt;"")),"Hidden","")</f>
        <v/>
      </c>
      <c r="J37" s="64" t="n">
        <f aca="true">IF(B37=" "," ",OFFSET(Cost_5_8,F37,0))</f>
        <v>1800</v>
      </c>
      <c r="K37" s="132" t="str">
        <f aca="true">IF(BF618,OFFSET(AX$616,BF618,0),"")</f>
        <v>Talent Linking</v>
      </c>
      <c r="L37" s="132"/>
      <c r="M37" s="133" t="s">
        <v>217</v>
      </c>
      <c r="N37" s="133"/>
      <c r="O37" s="134" t="n">
        <f aca="true">IF(BF618,OFFSET(BB$616,BF618,0)," ")</f>
        <v>6</v>
      </c>
      <c r="P37" s="134" t="str">
        <f aca="false">IF(M37="N",O37+2,"")</f>
        <v/>
      </c>
      <c r="Q37" s="135" t="n">
        <f aca="false">IF(M37="Y",VLOOKUP(K37,KnackCost,6,0),VLOOKUP(K37,KnackCost,5,0))</f>
        <v>1300</v>
      </c>
      <c r="R37" s="32" t="n">
        <v>7</v>
      </c>
      <c r="S37" s="115"/>
      <c r="T37" s="115"/>
      <c r="U37" s="115"/>
      <c r="V37" s="115"/>
      <c r="W37" s="65" t="n">
        <v>0</v>
      </c>
      <c r="X37" s="65" t="n">
        <v>0</v>
      </c>
      <c r="Y37" s="65"/>
      <c r="Z37" s="64" t="str">
        <f aca="false">IF(AND(S37&lt;&gt;" ",OR(W37&lt;1,Y37&lt;&gt;"")),"Hidden","")</f>
        <v>Hidden</v>
      </c>
      <c r="AA37" s="66" t="n">
        <f aca="true">IF(S37=" ","",(OFFSET(Cost_5_8,W37,0))-(OFFSET(Cost_5_8,1,0))+R$608)</f>
        <v>0</v>
      </c>
      <c r="AL37" s="42"/>
      <c r="AQ37" s="118" t="str">
        <f aca="false">B37</f>
        <v>Conceal Object</v>
      </c>
      <c r="AR37" s="119" t="n">
        <f aca="false">S37</f>
        <v>0</v>
      </c>
      <c r="CN37" s="32"/>
      <c r="CO37" s="32"/>
    </row>
    <row r="38" customFormat="false" ht="12.75" hidden="false" customHeight="false" outlineLevel="0" collapsed="false">
      <c r="A38" s="32" t="n">
        <v>8</v>
      </c>
      <c r="B38" s="110" t="str">
        <f aca="false">C637</f>
        <v> </v>
      </c>
      <c r="C38" s="110"/>
      <c r="D38" s="110"/>
      <c r="E38" s="110"/>
      <c r="F38" s="65" t="n">
        <v>0</v>
      </c>
      <c r="G38" s="65" t="n">
        <v>0</v>
      </c>
      <c r="H38" s="65"/>
      <c r="I38" s="64" t="str">
        <f aca="false">IF(AND(B38&lt;&gt;" ",OR(F38&lt;1,H38&lt;&gt;"")),"Hidden","")</f>
        <v/>
      </c>
      <c r="J38" s="64" t="str">
        <f aca="true">IF(B38=" "," ",OFFSET(Cost_5_8,F38,0))</f>
        <v> </v>
      </c>
      <c r="K38" s="132" t="str">
        <f aca="true">IF(BF619,OFFSET(AX$616,BF619,0),"")</f>
        <v>Thread Masking</v>
      </c>
      <c r="L38" s="132"/>
      <c r="M38" s="133" t="s">
        <v>217</v>
      </c>
      <c r="N38" s="133"/>
      <c r="O38" s="134" t="n">
        <f aca="true">IF(BF619,OFFSET(BB$616,BF619,0)," ")</f>
        <v>5</v>
      </c>
      <c r="P38" s="134" t="str">
        <f aca="false">IF(M38="N",O38+2,"")</f>
        <v/>
      </c>
      <c r="Q38" s="135" t="n">
        <f aca="false">IF(M38="Y",VLOOKUP(K38,KnackCost,6,0),VLOOKUP(K38,KnackCost,5,0))</f>
        <v>800</v>
      </c>
      <c r="R38" s="32" t="n">
        <v>8</v>
      </c>
      <c r="S38" s="110" t="str">
        <f aca="false">C678</f>
        <v> </v>
      </c>
      <c r="T38" s="110"/>
      <c r="U38" s="110"/>
      <c r="V38" s="110"/>
      <c r="W38" s="65" t="n">
        <v>0</v>
      </c>
      <c r="X38" s="65" t="n">
        <v>0</v>
      </c>
      <c r="Y38" s="65"/>
      <c r="Z38" s="64" t="str">
        <f aca="false">IF(AND(S38&lt;&gt;" ",OR(W38&lt;1,Y38&lt;&gt;"")),"Hidden","")</f>
        <v/>
      </c>
      <c r="AA38" s="66" t="str">
        <f aca="true">IF(S38=" ","",(OFFSET(Cost_5_8,W38,0))-(OFFSET(Cost_5_8,1,0))+R$608)</f>
        <v/>
      </c>
      <c r="AL38" s="42"/>
      <c r="AQ38" s="118" t="str">
        <f aca="false">B38</f>
        <v> </v>
      </c>
      <c r="AR38" s="119" t="str">
        <f aca="false">S38</f>
        <v> </v>
      </c>
      <c r="CN38" s="32"/>
      <c r="CO38" s="32"/>
    </row>
    <row r="39" customFormat="false" ht="12.75" hidden="false" customHeight="false" outlineLevel="0" collapsed="false">
      <c r="A39" s="32" t="n">
        <v>8</v>
      </c>
      <c r="B39" s="115"/>
      <c r="C39" s="115"/>
      <c r="D39" s="115"/>
      <c r="E39" s="115"/>
      <c r="F39" s="65" t="n">
        <v>0</v>
      </c>
      <c r="G39" s="65" t="n">
        <v>0</v>
      </c>
      <c r="H39" s="65"/>
      <c r="I39" s="64" t="str">
        <f aca="false">IF(AND(B39&lt;&gt;" ",OR(F39&lt;1,H39&lt;&gt;"")),"Hidden","")</f>
        <v>Hidden</v>
      </c>
      <c r="J39" s="64" t="n">
        <f aca="true">IF(B39=" "," ",OFFSET(Cost_5_8,F39,0))</f>
        <v>0</v>
      </c>
      <c r="K39" s="132" t="str">
        <f aca="true">IF(BF620,OFFSET(AX$616,BF620,0),"")</f>
        <v>Unraveling</v>
      </c>
      <c r="L39" s="132"/>
      <c r="M39" s="133" t="s">
        <v>217</v>
      </c>
      <c r="N39" s="133"/>
      <c r="O39" s="134" t="n">
        <f aca="true">IF(BF620,OFFSET(BB$616,BF620,0)," ")</f>
        <v>5</v>
      </c>
      <c r="P39" s="134" t="str">
        <f aca="false">IF(M39="N",O39+2,"")</f>
        <v/>
      </c>
      <c r="Q39" s="135" t="n">
        <f aca="false">IF(M39="Y",VLOOKUP(K39,KnackCost,6,0),VLOOKUP(K39,KnackCost,5,0))</f>
        <v>800</v>
      </c>
      <c r="R39" s="56" t="n">
        <v>8</v>
      </c>
      <c r="S39" s="115"/>
      <c r="T39" s="115"/>
      <c r="U39" s="115"/>
      <c r="V39" s="115"/>
      <c r="W39" s="65" t="n">
        <v>0</v>
      </c>
      <c r="X39" s="65" t="n">
        <v>0</v>
      </c>
      <c r="Y39" s="65"/>
      <c r="Z39" s="64" t="str">
        <f aca="false">IF(AND(S39&lt;&gt;" ",OR(W39&lt;1,Y39&lt;&gt;"")),"Hidden","")</f>
        <v>Hidden</v>
      </c>
      <c r="AA39" s="66" t="n">
        <f aca="true">IF(S39=" ","",(OFFSET(Cost_5_8,W39,0))-(OFFSET(Cost_5_8,1,0))+R$608)</f>
        <v>0</v>
      </c>
      <c r="AL39" s="42"/>
      <c r="AQ39" s="118" t="n">
        <f aca="false">B39</f>
        <v>0</v>
      </c>
      <c r="AR39" s="119" t="n">
        <f aca="false">S39</f>
        <v>0</v>
      </c>
      <c r="CN39" s="32"/>
      <c r="CO39" s="32"/>
    </row>
    <row r="40" customFormat="false" ht="12.75" hidden="false" customHeight="false" outlineLevel="0" collapsed="false">
      <c r="A40" s="32" t="n">
        <v>8</v>
      </c>
      <c r="B40" s="115"/>
      <c r="C40" s="115"/>
      <c r="D40" s="115"/>
      <c r="E40" s="115"/>
      <c r="F40" s="65" t="n">
        <v>0</v>
      </c>
      <c r="G40" s="65" t="n">
        <v>0</v>
      </c>
      <c r="H40" s="65"/>
      <c r="I40" s="64" t="str">
        <f aca="false">IF(AND(B40&lt;&gt;" ",OR(F40&lt;1,H40&lt;&gt;"")),"Hidden","")</f>
        <v>Hidden</v>
      </c>
      <c r="J40" s="64" t="n">
        <f aca="true">IF(B40=" "," ",OFFSET(Cost_5_8,F40,0))</f>
        <v>0</v>
      </c>
      <c r="K40" s="132" t="str">
        <f aca="true">IF(BF621,OFFSET(AX$616,BF621,0),"")</f>
        <v>Adept's Best Friend</v>
      </c>
      <c r="L40" s="132"/>
      <c r="M40" s="133" t="s">
        <v>217</v>
      </c>
      <c r="N40" s="133"/>
      <c r="O40" s="134" t="n">
        <f aca="true">IF(BF621,OFFSET(BB$616,BF621,0)," ")</f>
        <v>4</v>
      </c>
      <c r="P40" s="134" t="str">
        <f aca="false">IF(M40="N",O40+2,"")</f>
        <v/>
      </c>
      <c r="Q40" s="135" t="n">
        <f aca="false">IF(M40="Y",VLOOKUP(K40,KnackCost,6,0),VLOOKUP(K40,KnackCost,5,0))</f>
        <v>500</v>
      </c>
      <c r="R40" s="32" t="n">
        <v>8</v>
      </c>
      <c r="S40" s="115"/>
      <c r="T40" s="115"/>
      <c r="U40" s="115"/>
      <c r="V40" s="115"/>
      <c r="W40" s="65" t="n">
        <v>0</v>
      </c>
      <c r="X40" s="65" t="n">
        <v>0</v>
      </c>
      <c r="Y40" s="65"/>
      <c r="Z40" s="64" t="str">
        <f aca="false">IF(AND(S40&lt;&gt;" ",OR(W40&lt;1,Y40&lt;&gt;"")),"Hidden","")</f>
        <v>Hidden</v>
      </c>
      <c r="AA40" s="66" t="n">
        <f aca="true">IF(S40=" ","",(OFFSET(Cost_5_8,W40,0))-(OFFSET(Cost_5_8,1,0))+R$608)</f>
        <v>0</v>
      </c>
      <c r="AL40" s="42"/>
      <c r="AQ40" s="118" t="n">
        <f aca="false">B40</f>
        <v>0</v>
      </c>
      <c r="AR40" s="119" t="n">
        <f aca="false">S40</f>
        <v>0</v>
      </c>
      <c r="CN40" s="32"/>
      <c r="CO40" s="32"/>
    </row>
    <row r="41" customFormat="false" ht="12.8" hidden="false" customHeight="false" outlineLevel="0" collapsed="false">
      <c r="A41" s="32" t="n">
        <v>9</v>
      </c>
      <c r="B41" s="110" t="str">
        <f aca="false">C640</f>
        <v> </v>
      </c>
      <c r="C41" s="110"/>
      <c r="D41" s="110"/>
      <c r="E41" s="110"/>
      <c r="F41" s="65" t="n">
        <v>0</v>
      </c>
      <c r="G41" s="65" t="n">
        <v>0</v>
      </c>
      <c r="H41" s="65"/>
      <c r="I41" s="64" t="str">
        <f aca="false">IF(AND(B41&lt;&gt;" ",OR(F41&lt;1,H41&lt;&gt;"")),"Hidden","")</f>
        <v/>
      </c>
      <c r="J41" s="64" t="str">
        <f aca="true">IF(B41=" "," ",OFFSET(Cost_9_12,F41,0))</f>
        <v> </v>
      </c>
      <c r="K41" s="136" t="str">
        <f aca="true">IF(BF622,OFFSET(AX$616,BF622,0),"")</f>
        <v>Angelic Appearance</v>
      </c>
      <c r="L41" s="136"/>
      <c r="M41" s="133" t="s">
        <v>217</v>
      </c>
      <c r="N41" s="133" t="s">
        <v>219</v>
      </c>
      <c r="O41" s="134" t="n">
        <f aca="true">IF(BF622,OFFSET(BB$616,BF622,0)," ")</f>
        <v>5</v>
      </c>
      <c r="P41" s="134" t="str">
        <f aca="false">IF(M41="N",O41+2,"")</f>
        <v/>
      </c>
      <c r="Q41" s="135" t="n">
        <f aca="false">IF(M41="Y",VLOOKUP(K41,KnackCost,6,0),VLOOKUP(K41,KnackCost,5,0))</f>
        <v>800</v>
      </c>
      <c r="R41" s="32" t="n">
        <v>9</v>
      </c>
      <c r="S41" s="110" t="str">
        <f aca="false">C681</f>
        <v> </v>
      </c>
      <c r="T41" s="110"/>
      <c r="U41" s="110"/>
      <c r="V41" s="110"/>
      <c r="W41" s="65" t="n">
        <v>0</v>
      </c>
      <c r="X41" s="65" t="n">
        <v>0</v>
      </c>
      <c r="Y41" s="65"/>
      <c r="Z41" s="64" t="str">
        <f aca="false">IF(AND(S41&lt;&gt;" ",OR(W41&lt;1,Y41&lt;&gt;"")),"Hidden","")</f>
        <v/>
      </c>
      <c r="AA41" s="66" t="str">
        <f aca="true">IF(S41=" ","",(OFFSET(Cost_5_8,W41,0))-(OFFSET(Cost_5_8,1,0))+R$608)</f>
        <v/>
      </c>
      <c r="AL41" s="42"/>
      <c r="AQ41" s="118" t="str">
        <f aca="false">B41</f>
        <v> </v>
      </c>
      <c r="AR41" s="119" t="str">
        <f aca="false">S41</f>
        <v> </v>
      </c>
      <c r="CN41" s="32"/>
      <c r="CO41" s="32"/>
    </row>
    <row r="42" customFormat="false" ht="12.75" hidden="false" customHeight="false" outlineLevel="0" collapsed="false">
      <c r="A42" s="32" t="n">
        <v>9</v>
      </c>
      <c r="B42" s="115"/>
      <c r="C42" s="115"/>
      <c r="D42" s="115"/>
      <c r="E42" s="115"/>
      <c r="F42" s="65" t="n">
        <v>0</v>
      </c>
      <c r="G42" s="65" t="n">
        <v>0</v>
      </c>
      <c r="H42" s="65"/>
      <c r="I42" s="64" t="str">
        <f aca="false">IF(AND(B42&lt;&gt;" ",OR(F42&lt;1,H42&lt;&gt;"")),"Hidden","")</f>
        <v>Hidden</v>
      </c>
      <c r="J42" s="64" t="n">
        <f aca="true">IF(B42=" "," ",OFFSET(Cost_9_12,F42,0))</f>
        <v>0</v>
      </c>
      <c r="K42" s="132" t="str">
        <f aca="true">IF(BF623,OFFSET(AX$616,BF623,0),"")</f>
        <v>Animal's Best Friend</v>
      </c>
      <c r="L42" s="132"/>
      <c r="M42" s="133" t="s">
        <v>217</v>
      </c>
      <c r="N42" s="133"/>
      <c r="O42" s="134" t="n">
        <f aca="true">IF(BF623,OFFSET(BB$616,BF623,0)," ")</f>
        <v>4</v>
      </c>
      <c r="P42" s="134" t="str">
        <f aca="false">IF(M42="N",O42+2,"")</f>
        <v/>
      </c>
      <c r="Q42" s="135" t="n">
        <f aca="false">IF(M42="Y",VLOOKUP(K42,KnackCost,6,0),VLOOKUP(K42,KnackCost,5,0))</f>
        <v>500</v>
      </c>
      <c r="R42" s="32" t="n">
        <v>9</v>
      </c>
      <c r="S42" s="115"/>
      <c r="T42" s="115"/>
      <c r="U42" s="115"/>
      <c r="V42" s="115"/>
      <c r="W42" s="65" t="n">
        <v>0</v>
      </c>
      <c r="X42" s="65" t="n">
        <v>0</v>
      </c>
      <c r="Y42" s="65"/>
      <c r="Z42" s="64" t="str">
        <f aca="false">IF(AND(S42&lt;&gt;" ",OR(W42&lt;1,Y42&lt;&gt;"")),"Hidden","")</f>
        <v>Hidden</v>
      </c>
      <c r="AA42" s="66" t="n">
        <f aca="true">IF(S42=" ","",(OFFSET(Cost_5_8,W42,0))-(OFFSET(Cost_5_8,1,0))+R$608)</f>
        <v>0</v>
      </c>
      <c r="AL42" s="42"/>
      <c r="AQ42" s="118" t="n">
        <f aca="false">B42</f>
        <v>0</v>
      </c>
      <c r="AR42" s="119" t="n">
        <f aca="false">S42</f>
        <v>0</v>
      </c>
      <c r="CN42" s="32"/>
      <c r="CO42" s="32"/>
    </row>
    <row r="43" customFormat="false" ht="12.75" hidden="false" customHeight="false" outlineLevel="0" collapsed="false">
      <c r="A43" s="32" t="n">
        <v>9</v>
      </c>
      <c r="B43" s="115"/>
      <c r="C43" s="115"/>
      <c r="D43" s="115"/>
      <c r="E43" s="115"/>
      <c r="F43" s="65" t="n">
        <v>0</v>
      </c>
      <c r="G43" s="65" t="n">
        <v>0</v>
      </c>
      <c r="H43" s="65"/>
      <c r="I43" s="64" t="str">
        <f aca="false">IF(AND(B43&lt;&gt;" ",OR(F43&lt;1,H43&lt;&gt;"")),"Hidden","")</f>
        <v>Hidden</v>
      </c>
      <c r="J43" s="64" t="n">
        <f aca="true">IF(B43=" "," ",OFFSET(Cost_9_12,F43,0))</f>
        <v>0</v>
      </c>
      <c r="K43" s="132" t="str">
        <f aca="true">IF(BF624,OFFSET(AX$616,BF624,0),"")</f>
        <v>Armor Beater</v>
      </c>
      <c r="L43" s="132"/>
      <c r="M43" s="133" t="s">
        <v>217</v>
      </c>
      <c r="N43" s="133"/>
      <c r="O43" s="134" t="n">
        <f aca="true">IF(BF624,OFFSET(BB$616,BF624,0)," ")</f>
        <v>8</v>
      </c>
      <c r="P43" s="134" t="str">
        <f aca="false">IF(M43="N",O43+2,"")</f>
        <v/>
      </c>
      <c r="Q43" s="135" t="n">
        <f aca="false">IF(M43="Y",VLOOKUP(K43,KnackCost,6,0),VLOOKUP(K43,KnackCost,5,0))</f>
        <v>3400</v>
      </c>
      <c r="R43" s="32" t="n">
        <v>9</v>
      </c>
      <c r="S43" s="115"/>
      <c r="T43" s="115"/>
      <c r="U43" s="115"/>
      <c r="V43" s="115"/>
      <c r="W43" s="65" t="n">
        <v>0</v>
      </c>
      <c r="X43" s="65" t="n">
        <v>0</v>
      </c>
      <c r="Y43" s="65"/>
      <c r="Z43" s="64" t="str">
        <f aca="false">IF(AND(S43&lt;&gt;" ",OR(W43&lt;1,Y43&lt;&gt;"")),"Hidden","")</f>
        <v>Hidden</v>
      </c>
      <c r="AA43" s="66" t="n">
        <f aca="true">IF(S43=" ","",(OFFSET(Cost_5_8,W43,0))-(OFFSET(Cost_5_8,1,0))+R$608)</f>
        <v>0</v>
      </c>
      <c r="AL43" s="42"/>
      <c r="AQ43" s="118" t="n">
        <f aca="false">B43</f>
        <v>0</v>
      </c>
      <c r="AR43" s="119" t="n">
        <f aca="false">S43</f>
        <v>0</v>
      </c>
      <c r="CN43" s="32"/>
      <c r="CO43" s="32"/>
    </row>
    <row r="44" customFormat="false" ht="12.75" hidden="false" customHeight="false" outlineLevel="0" collapsed="false">
      <c r="A44" s="32" t="n">
        <v>10</v>
      </c>
      <c r="B44" s="110" t="str">
        <f aca="false">C643</f>
        <v> </v>
      </c>
      <c r="C44" s="110"/>
      <c r="D44" s="110"/>
      <c r="E44" s="110"/>
      <c r="F44" s="65" t="n">
        <v>0</v>
      </c>
      <c r="G44" s="65" t="n">
        <v>0</v>
      </c>
      <c r="H44" s="65"/>
      <c r="I44" s="64" t="str">
        <f aca="false">IF(AND(B44&lt;&gt;" ",OR(F44&lt;1,H44&lt;&gt;"")),"Hidden","")</f>
        <v/>
      </c>
      <c r="J44" s="64" t="str">
        <f aca="true">IF(B44=" "," ",OFFSET(Cost_9_12,F44,0))</f>
        <v> </v>
      </c>
      <c r="K44" s="132" t="str">
        <f aca="true">IF(BF625,OFFSET(AX$616,BF625,0),"")</f>
        <v>Astral Tracking</v>
      </c>
      <c r="L44" s="132"/>
      <c r="M44" s="133" t="s">
        <v>217</v>
      </c>
      <c r="N44" s="133"/>
      <c r="O44" s="134" t="n">
        <f aca="true">IF(BF625,OFFSET(BB$616,BF625,0)," ")</f>
        <v>7</v>
      </c>
      <c r="P44" s="134" t="str">
        <f aca="false">IF(M44="N",O44+2,"")</f>
        <v/>
      </c>
      <c r="Q44" s="135" t="n">
        <f aca="false">IF(M44="Y",VLOOKUP(K44,KnackCost,6,0),VLOOKUP(K44,KnackCost,5,0))</f>
        <v>2100</v>
      </c>
      <c r="R44" s="32" t="n">
        <v>10</v>
      </c>
      <c r="S44" s="110" t="str">
        <f aca="false">C684</f>
        <v> </v>
      </c>
      <c r="T44" s="110"/>
      <c r="U44" s="110"/>
      <c r="V44" s="110"/>
      <c r="W44" s="65" t="n">
        <v>0</v>
      </c>
      <c r="X44" s="65" t="n">
        <v>0</v>
      </c>
      <c r="Y44" s="65"/>
      <c r="Z44" s="64" t="str">
        <f aca="false">IF(AND(S44&lt;&gt;" ",OR(W44&lt;1,Y44&lt;&gt;"")),"Hidden","")</f>
        <v/>
      </c>
      <c r="AA44" s="66" t="str">
        <f aca="true">IF(S44=" ","",(OFFSET(Cost_5_8,W44,0))-(OFFSET(Cost_5_8,1,0))+R$608)</f>
        <v/>
      </c>
      <c r="AL44" s="42"/>
      <c r="AQ44" s="118" t="str">
        <f aca="false">B44</f>
        <v> </v>
      </c>
      <c r="AR44" s="119" t="str">
        <f aca="false">S44</f>
        <v> </v>
      </c>
      <c r="CN44" s="32"/>
      <c r="CO44" s="32"/>
    </row>
    <row r="45" customFormat="false" ht="12.75" hidden="false" customHeight="false" outlineLevel="0" collapsed="false">
      <c r="A45" s="32" t="n">
        <v>10</v>
      </c>
      <c r="B45" s="115"/>
      <c r="C45" s="115"/>
      <c r="D45" s="115"/>
      <c r="E45" s="115"/>
      <c r="F45" s="65" t="n">
        <v>0</v>
      </c>
      <c r="G45" s="65" t="n">
        <v>0</v>
      </c>
      <c r="H45" s="65"/>
      <c r="I45" s="64" t="str">
        <f aca="false">IF(AND(B45&lt;&gt;" ",OR(F45&lt;1,H45&lt;&gt;"")),"Hidden","")</f>
        <v>Hidden</v>
      </c>
      <c r="J45" s="64" t="n">
        <f aca="true">IF(B45=" "," ",OFFSET(Cost_9_12,F45,0))</f>
        <v>0</v>
      </c>
      <c r="K45" s="132" t="str">
        <f aca="true">IF(BF626,OFFSET(AX$616,BF626,0),"")</f>
        <v>By the Fingernails</v>
      </c>
      <c r="L45" s="132"/>
      <c r="M45" s="133" t="s">
        <v>217</v>
      </c>
      <c r="N45" s="133"/>
      <c r="O45" s="134" t="n">
        <f aca="true">IF(BF626,OFFSET(BB$616,BF626,0)," ")</f>
        <v>5</v>
      </c>
      <c r="P45" s="134" t="str">
        <f aca="false">IF(M45="N",O45+2,"")</f>
        <v/>
      </c>
      <c r="Q45" s="135" t="n">
        <f aca="false">IF(M45="Y",VLOOKUP(K45,KnackCost,6,0),VLOOKUP(K45,KnackCost,5,0))</f>
        <v>800</v>
      </c>
      <c r="R45" s="32" t="n">
        <v>10</v>
      </c>
      <c r="S45" s="115"/>
      <c r="T45" s="115"/>
      <c r="U45" s="115"/>
      <c r="V45" s="115"/>
      <c r="W45" s="65" t="n">
        <v>0</v>
      </c>
      <c r="X45" s="65" t="n">
        <v>0</v>
      </c>
      <c r="Y45" s="65"/>
      <c r="Z45" s="64" t="str">
        <f aca="false">IF(AND(S45&lt;&gt;" ",OR(W45&lt;1,Y45&lt;&gt;"")),"Hidden","")</f>
        <v>Hidden</v>
      </c>
      <c r="AA45" s="66" t="n">
        <f aca="true">IF(S45=" ","",(OFFSET(Cost_5_8,W45,0))-(OFFSET(Cost_5_8,1,0))+R$608)</f>
        <v>0</v>
      </c>
      <c r="AL45" s="42"/>
      <c r="AQ45" s="118" t="n">
        <f aca="false">B45</f>
        <v>0</v>
      </c>
      <c r="AR45" s="119" t="n">
        <f aca="false">S45</f>
        <v>0</v>
      </c>
      <c r="CN45" s="32"/>
      <c r="CO45" s="32"/>
    </row>
    <row r="46" customFormat="false" ht="12.75" hidden="false" customHeight="false" outlineLevel="0" collapsed="false">
      <c r="A46" s="32" t="n">
        <v>11</v>
      </c>
      <c r="B46" s="110" t="str">
        <f aca="false">C645</f>
        <v> </v>
      </c>
      <c r="C46" s="110"/>
      <c r="D46" s="110"/>
      <c r="E46" s="110"/>
      <c r="F46" s="65" t="n">
        <v>0</v>
      </c>
      <c r="G46" s="65" t="n">
        <v>0</v>
      </c>
      <c r="H46" s="65"/>
      <c r="I46" s="64" t="str">
        <f aca="false">IF(AND(B46&lt;&gt;" ",OR(F46&lt;1,H46&lt;&gt;"")),"Hidden","")</f>
        <v/>
      </c>
      <c r="J46" s="64" t="str">
        <f aca="true">IF(B46=" "," ",OFFSET(Cost_9_12,F46,0))</f>
        <v> </v>
      </c>
      <c r="K46" s="132" t="str">
        <f aca="true">IF(BF627,OFFSET(AX$616,BF627,0),"")</f>
        <v>Deflect Blow</v>
      </c>
      <c r="L46" s="132"/>
      <c r="M46" s="133" t="s">
        <v>217</v>
      </c>
      <c r="N46" s="133"/>
      <c r="O46" s="134" t="n">
        <f aca="true">IF(BF627,OFFSET(BB$616,BF627,0)," ")</f>
        <v>6</v>
      </c>
      <c r="P46" s="134" t="str">
        <f aca="false">IF(M46="N",O46+2,"")</f>
        <v/>
      </c>
      <c r="Q46" s="135" t="n">
        <f aca="false">IF(M46="Y",VLOOKUP(K46,KnackCost,6,0),VLOOKUP(K46,KnackCost,5,0))</f>
        <v>1300</v>
      </c>
      <c r="R46" s="32" t="n">
        <v>11</v>
      </c>
      <c r="S46" s="110" t="str">
        <f aca="false">C686</f>
        <v> </v>
      </c>
      <c r="T46" s="110"/>
      <c r="U46" s="110"/>
      <c r="V46" s="110"/>
      <c r="W46" s="65" t="n">
        <v>0</v>
      </c>
      <c r="X46" s="65" t="n">
        <v>0</v>
      </c>
      <c r="Y46" s="65"/>
      <c r="Z46" s="64" t="str">
        <f aca="false">IF(AND(S46&lt;&gt;" ",OR(W46&lt;1,Y46&lt;&gt;"")),"Hidden","")</f>
        <v/>
      </c>
      <c r="AA46" s="66" t="str">
        <f aca="true">IF(S46=" ","",(OFFSET(Cost_5_8,W46,0))-(OFFSET(Cost_5_8,1,0))+R$608)</f>
        <v/>
      </c>
      <c r="AL46" s="42"/>
      <c r="AQ46" s="118" t="str">
        <f aca="false">B46</f>
        <v> </v>
      </c>
      <c r="AR46" s="119" t="str">
        <f aca="false">S46</f>
        <v> </v>
      </c>
      <c r="CN46" s="32"/>
      <c r="CO46" s="32"/>
    </row>
    <row r="47" customFormat="false" ht="12.75" hidden="false" customHeight="false" outlineLevel="0" collapsed="false">
      <c r="A47" s="32" t="n">
        <v>11</v>
      </c>
      <c r="B47" s="115"/>
      <c r="C47" s="115"/>
      <c r="D47" s="115"/>
      <c r="E47" s="115"/>
      <c r="F47" s="65" t="n">
        <v>0</v>
      </c>
      <c r="G47" s="65" t="n">
        <v>0</v>
      </c>
      <c r="H47" s="65"/>
      <c r="I47" s="64" t="str">
        <f aca="false">IF(AND(B47&lt;&gt;" ",OR(F47&lt;1,H47&lt;&gt;"")),"Hidden","")</f>
        <v>Hidden</v>
      </c>
      <c r="J47" s="64" t="n">
        <f aca="true">IF(B47=" "," ",OFFSET(Cost_9_12,F47,0))</f>
        <v>0</v>
      </c>
      <c r="K47" s="132" t="str">
        <f aca="true">IF(BF628,OFFSET(AX$616,BF628,0),"")</f>
        <v>Diagnose</v>
      </c>
      <c r="L47" s="132"/>
      <c r="M47" s="133" t="s">
        <v>217</v>
      </c>
      <c r="N47" s="133"/>
      <c r="O47" s="134" t="n">
        <f aca="true">IF(BF628,OFFSET(BB$616,BF628,0)," ")</f>
        <v>5</v>
      </c>
      <c r="P47" s="134" t="str">
        <f aca="false">IF(M47="N",O47+2,"")</f>
        <v/>
      </c>
      <c r="Q47" s="135" t="n">
        <f aca="false">IF(M47="Y",VLOOKUP(K47,KnackCost,6,0),VLOOKUP(K47,KnackCost,5,0))</f>
        <v>800</v>
      </c>
      <c r="R47" s="32" t="n">
        <v>11</v>
      </c>
      <c r="S47" s="115"/>
      <c r="T47" s="115"/>
      <c r="U47" s="115"/>
      <c r="V47" s="115"/>
      <c r="W47" s="65" t="n">
        <v>0</v>
      </c>
      <c r="X47" s="65" t="n">
        <v>0</v>
      </c>
      <c r="Y47" s="65"/>
      <c r="Z47" s="64" t="str">
        <f aca="false">IF(AND(S47&lt;&gt;" ",OR(W47&lt;1,Y47&lt;&gt;"")),"Hidden","")</f>
        <v>Hidden</v>
      </c>
      <c r="AA47" s="66" t="n">
        <f aca="true">IF(S47=" ","",(OFFSET(Cost_5_8,W47,0))-(OFFSET(Cost_5_8,1,0))+R$608)</f>
        <v>0</v>
      </c>
      <c r="AL47" s="42"/>
      <c r="AQ47" s="118" t="n">
        <f aca="false">B47</f>
        <v>0</v>
      </c>
      <c r="AR47" s="119" t="n">
        <f aca="false">S47</f>
        <v>0</v>
      </c>
      <c r="CN47" s="32"/>
      <c r="CO47" s="32"/>
    </row>
    <row r="48" customFormat="false" ht="12.75" hidden="false" customHeight="false" outlineLevel="0" collapsed="false">
      <c r="A48" s="32" t="n">
        <v>12</v>
      </c>
      <c r="B48" s="110" t="str">
        <f aca="false">C647</f>
        <v> </v>
      </c>
      <c r="C48" s="110"/>
      <c r="D48" s="110"/>
      <c r="E48" s="110"/>
      <c r="F48" s="65" t="n">
        <v>0</v>
      </c>
      <c r="G48" s="65" t="n">
        <v>0</v>
      </c>
      <c r="H48" s="65"/>
      <c r="I48" s="64" t="str">
        <f aca="false">IF(AND(B48&lt;&gt;" ",OR(F48&lt;1,H48&lt;&gt;"")),"Hidden","")</f>
        <v/>
      </c>
      <c r="J48" s="64" t="str">
        <f aca="true">IF(B48=" "," ",OFFSET(Cost_9_12,F48,0))</f>
        <v> </v>
      </c>
      <c r="K48" s="132" t="str">
        <f aca="true">IF(BF629,OFFSET(AX$616,BF629,0),"")</f>
        <v>Disassociate</v>
      </c>
      <c r="L48" s="132"/>
      <c r="M48" s="133" t="s">
        <v>217</v>
      </c>
      <c r="N48" s="133"/>
      <c r="O48" s="134" t="n">
        <f aca="true">IF(BF629,OFFSET(BB$616,BF629,0)," ")</f>
        <v>7</v>
      </c>
      <c r="P48" s="134" t="str">
        <f aca="false">IF(M48="N",O48+2,"")</f>
        <v/>
      </c>
      <c r="Q48" s="135" t="n">
        <f aca="false">IF(M48="Y",VLOOKUP(K48,KnackCost,6,0),VLOOKUP(K48,KnackCost,5,0))</f>
        <v>1300</v>
      </c>
      <c r="R48" s="32" t="n">
        <v>12</v>
      </c>
      <c r="S48" s="110" t="str">
        <f aca="false">C688</f>
        <v> </v>
      </c>
      <c r="T48" s="110"/>
      <c r="U48" s="110"/>
      <c r="V48" s="110"/>
      <c r="W48" s="65" t="n">
        <v>0</v>
      </c>
      <c r="X48" s="65" t="n">
        <v>0</v>
      </c>
      <c r="Y48" s="65"/>
      <c r="Z48" s="64" t="str">
        <f aca="false">IF(AND(S48&lt;&gt;" ",OR(W48&lt;1,Y48&lt;&gt;"")),"Hidden","")</f>
        <v/>
      </c>
      <c r="AA48" s="66" t="str">
        <f aca="true">IF(S48=" ","",(OFFSET(Cost_5_8,W48,0))-(OFFSET(Cost_5_8,1,0))+R$608)</f>
        <v/>
      </c>
      <c r="AL48" s="42"/>
      <c r="AQ48" s="118" t="str">
        <f aca="false">B48</f>
        <v> </v>
      </c>
      <c r="AR48" s="119" t="str">
        <f aca="false">S48</f>
        <v> </v>
      </c>
      <c r="CN48" s="32"/>
      <c r="CO48" s="32"/>
    </row>
    <row r="49" customFormat="false" ht="12.75" hidden="false" customHeight="false" outlineLevel="0" collapsed="false">
      <c r="A49" s="32" t="n">
        <v>12</v>
      </c>
      <c r="B49" s="115"/>
      <c r="C49" s="115"/>
      <c r="D49" s="115"/>
      <c r="E49" s="115"/>
      <c r="F49" s="65" t="n">
        <v>0</v>
      </c>
      <c r="G49" s="65" t="n">
        <v>0</v>
      </c>
      <c r="H49" s="65"/>
      <c r="I49" s="64" t="str">
        <f aca="false">IF(AND(B49&lt;&gt;" ",OR(F49&lt;1,H49&lt;&gt;"")),"Hidden","")</f>
        <v>Hidden</v>
      </c>
      <c r="J49" s="64" t="n">
        <f aca="true">IF(B49=" "," ",OFFSET(Cost_9_12,F49,0))</f>
        <v>0</v>
      </c>
      <c r="K49" s="132" t="str">
        <f aca="true">IF(BF630,OFFSET(AX$616,BF630,0),"")</f>
        <v>Flying Kick</v>
      </c>
      <c r="L49" s="132"/>
      <c r="M49" s="133" t="s">
        <v>217</v>
      </c>
      <c r="N49" s="133"/>
      <c r="O49" s="134" t="n">
        <f aca="true">IF(BF630,OFFSET(BB$616,BF630,0)," ")</f>
        <v>5</v>
      </c>
      <c r="P49" s="134" t="str">
        <f aca="false">IF(M49="N",O49+2,"")</f>
        <v/>
      </c>
      <c r="Q49" s="135" t="n">
        <f aca="false">IF(M49="Y",VLOOKUP(K49,KnackCost,6,0),VLOOKUP(K49,KnackCost,5,0))</f>
        <v>800</v>
      </c>
      <c r="R49" s="32" t="n">
        <v>12</v>
      </c>
      <c r="S49" s="115"/>
      <c r="T49" s="115"/>
      <c r="U49" s="115"/>
      <c r="V49" s="115"/>
      <c r="W49" s="65" t="n">
        <v>0</v>
      </c>
      <c r="X49" s="65" t="n">
        <v>0</v>
      </c>
      <c r="Y49" s="65"/>
      <c r="Z49" s="64" t="str">
        <f aca="false">IF(AND(S49&lt;&gt;" ",OR(W49&lt;1,Y49&lt;&gt;"")),"Hidden","")</f>
        <v>Hidden</v>
      </c>
      <c r="AA49" s="66" t="n">
        <f aca="true">IF(S49=" ","",(OFFSET(Cost_5_8,W49,0))-(OFFSET(Cost_5_8,1,0))+R$608)</f>
        <v>0</v>
      </c>
      <c r="AL49" s="42"/>
      <c r="AQ49" s="118" t="n">
        <f aca="false">B49</f>
        <v>0</v>
      </c>
      <c r="AR49" s="119" t="n">
        <f aca="false">S49</f>
        <v>0</v>
      </c>
      <c r="CN49" s="32"/>
      <c r="CO49" s="32"/>
    </row>
    <row r="50" customFormat="false" ht="12.75" hidden="false" customHeight="false" outlineLevel="0" collapsed="false">
      <c r="A50" s="32" t="n">
        <v>13</v>
      </c>
      <c r="B50" s="110" t="str">
        <f aca="false">C649</f>
        <v> </v>
      </c>
      <c r="C50" s="110"/>
      <c r="D50" s="110"/>
      <c r="E50" s="110"/>
      <c r="F50" s="65" t="n">
        <v>0</v>
      </c>
      <c r="G50" s="65" t="n">
        <v>0</v>
      </c>
      <c r="H50" s="65"/>
      <c r="I50" s="64" t="str">
        <f aca="false">IF(AND(B50&lt;&gt;" ",OR(F50&lt;1,H50&lt;&gt;"")),"Hidden","")</f>
        <v/>
      </c>
      <c r="J50" s="64" t="str">
        <f aca="true">IF(B50=" "," ",OFFSET(Cost_13_15,F50,0))</f>
        <v> </v>
      </c>
      <c r="K50" s="132" t="str">
        <f aca="true">IF(BF631,OFFSET(AX$616,BF631,0),"")</f>
        <v>Identify Tracks</v>
      </c>
      <c r="L50" s="132"/>
      <c r="M50" s="133" t="s">
        <v>220</v>
      </c>
      <c r="N50" s="133"/>
      <c r="O50" s="134" t="n">
        <f aca="true">IF(BF631,OFFSET(BB$616,BF631,0)," ")</f>
        <v>5</v>
      </c>
      <c r="P50" s="134" t="n">
        <f aca="false">IF(M50="N",O50+2,"")</f>
        <v>7</v>
      </c>
      <c r="Q50" s="135" t="n">
        <f aca="false">IF(M50="Y",VLOOKUP(K50,KnackCost,6,0),VLOOKUP(K50,KnackCost,5,0))</f>
        <v>2100</v>
      </c>
      <c r="R50" s="32" t="n">
        <v>13</v>
      </c>
      <c r="S50" s="110" t="str">
        <f aca="false">C690</f>
        <v> </v>
      </c>
      <c r="T50" s="110"/>
      <c r="U50" s="110"/>
      <c r="V50" s="110"/>
      <c r="W50" s="65" t="n">
        <v>0</v>
      </c>
      <c r="X50" s="65" t="n">
        <v>0</v>
      </c>
      <c r="Y50" s="65"/>
      <c r="Z50" s="64" t="str">
        <f aca="false">IF(AND(S50&lt;&gt;" ",OR(W50&lt;1,Y50&lt;&gt;"")),"Hidden","")</f>
        <v/>
      </c>
      <c r="AA50" s="66" t="str">
        <f aca="true">IF(S50=" ","",(OFFSET(Cost_5_8,W50,0))-(OFFSET(Cost_5_8,1,0))+R$608)</f>
        <v/>
      </c>
      <c r="AL50" s="42"/>
      <c r="AQ50" s="118" t="str">
        <f aca="false">B50</f>
        <v> </v>
      </c>
      <c r="AR50" s="119" t="str">
        <f aca="false">S50</f>
        <v> </v>
      </c>
      <c r="CN50" s="32"/>
      <c r="CO50" s="32"/>
    </row>
    <row r="51" customFormat="false" ht="12.75" hidden="false" customHeight="false" outlineLevel="0" collapsed="false">
      <c r="A51" s="32" t="n">
        <v>13</v>
      </c>
      <c r="B51" s="115"/>
      <c r="C51" s="115"/>
      <c r="D51" s="115"/>
      <c r="E51" s="115"/>
      <c r="F51" s="65" t="n">
        <v>0</v>
      </c>
      <c r="G51" s="65" t="n">
        <v>0</v>
      </c>
      <c r="H51" s="65"/>
      <c r="I51" s="64" t="str">
        <f aca="false">IF(AND(B51&lt;&gt;" ",OR(F51&lt;1,H51&lt;&gt;"")),"Hidden","")</f>
        <v>Hidden</v>
      </c>
      <c r="J51" s="64" t="n">
        <f aca="true">IF(B51=" "," ",OFFSET(Cost_13_15,F51,0))</f>
        <v>0</v>
      </c>
      <c r="K51" s="132" t="str">
        <f aca="true">IF(BF632,OFFSET(AX$616,BF632,0),"")</f>
        <v>Improvised Weapons</v>
      </c>
      <c r="L51" s="132"/>
      <c r="M51" s="133" t="s">
        <v>220</v>
      </c>
      <c r="N51" s="133"/>
      <c r="O51" s="134" t="n">
        <f aca="true">IF(BF632,OFFSET(BB$616,BF632,0)," ")</f>
        <v>5</v>
      </c>
      <c r="P51" s="134" t="n">
        <f aca="false">IF(M51="N",O51+2,"")</f>
        <v>7</v>
      </c>
      <c r="Q51" s="135" t="n">
        <f aca="false">IF(M51="Y",VLOOKUP(K51,KnackCost,6,0),VLOOKUP(K51,KnackCost,5,0))</f>
        <v>2100</v>
      </c>
      <c r="R51" s="32" t="n">
        <v>13</v>
      </c>
      <c r="S51" s="115"/>
      <c r="T51" s="115"/>
      <c r="U51" s="115"/>
      <c r="V51" s="115"/>
      <c r="W51" s="65" t="n">
        <v>0</v>
      </c>
      <c r="X51" s="65" t="n">
        <v>0</v>
      </c>
      <c r="Y51" s="65"/>
      <c r="Z51" s="64" t="str">
        <f aca="false">IF(AND(S51&lt;&gt;" ",OR(W51&lt;1,Y51&lt;&gt;"")),"Hidden","")</f>
        <v>Hidden</v>
      </c>
      <c r="AA51" s="66" t="n">
        <f aca="true">IF(S51=" ","",(OFFSET(Cost_5_8,W51,0))-(OFFSET(Cost_5_8,1,0))+R$608)</f>
        <v>0</v>
      </c>
      <c r="AL51" s="42"/>
      <c r="AQ51" s="118" t="n">
        <f aca="false">B51</f>
        <v>0</v>
      </c>
      <c r="AR51" s="119" t="n">
        <f aca="false">S51</f>
        <v>0</v>
      </c>
      <c r="CN51" s="32"/>
      <c r="CO51" s="32"/>
    </row>
    <row r="52" customFormat="false" ht="12.75" hidden="false" customHeight="false" outlineLevel="0" collapsed="false">
      <c r="A52" s="32" t="n">
        <v>13</v>
      </c>
      <c r="B52" s="115"/>
      <c r="C52" s="115"/>
      <c r="D52" s="115"/>
      <c r="E52" s="115"/>
      <c r="F52" s="65" t="n">
        <v>0</v>
      </c>
      <c r="G52" s="65" t="n">
        <v>0</v>
      </c>
      <c r="H52" s="65"/>
      <c r="I52" s="64" t="str">
        <f aca="false">IF(AND(B52&lt;&gt;" ",OR(F52&lt;1,H52&lt;&gt;"")),"Hidden","")</f>
        <v>Hidden</v>
      </c>
      <c r="J52" s="64" t="n">
        <f aca="true">IF(B52=" "," ",OFFSET(Cost_13_15,F52,0))</f>
        <v>0</v>
      </c>
      <c r="K52" s="132" t="str">
        <f aca="true">IF(BF633,OFFSET(AX$616,BF633,0),"")</f>
        <v>Lift the Curtain</v>
      </c>
      <c r="L52" s="132"/>
      <c r="M52" s="133" t="s">
        <v>220</v>
      </c>
      <c r="N52" s="133"/>
      <c r="O52" s="134" t="n">
        <f aca="true">IF(BF633,OFFSET(BB$616,BF633,0)," ")</f>
        <v>7</v>
      </c>
      <c r="P52" s="134" t="n">
        <f aca="false">IF(M52="N",O52+2,"")</f>
        <v>9</v>
      </c>
      <c r="Q52" s="135" t="n">
        <f aca="false">IF(M52="Y",VLOOKUP(K52,KnackCost,6,0),VLOOKUP(K52,KnackCost,5,0))</f>
        <v>5500</v>
      </c>
      <c r="R52" s="32" t="n">
        <v>13</v>
      </c>
      <c r="S52" s="115"/>
      <c r="T52" s="115"/>
      <c r="U52" s="115"/>
      <c r="V52" s="115"/>
      <c r="W52" s="65" t="n">
        <v>0</v>
      </c>
      <c r="X52" s="65" t="n">
        <v>0</v>
      </c>
      <c r="Y52" s="65"/>
      <c r="Z52" s="64" t="str">
        <f aca="false">IF(AND(S52&lt;&gt;" ",OR(W52&lt;1,Y52&lt;&gt;"")),"Hidden","")</f>
        <v>Hidden</v>
      </c>
      <c r="AA52" s="66" t="n">
        <f aca="true">IF(S52=" ","",(OFFSET(Cost_5_8,W52,0))-(OFFSET(Cost_5_8,1,0))+R$608)</f>
        <v>0</v>
      </c>
      <c r="AL52" s="42"/>
      <c r="AQ52" s="118" t="n">
        <f aca="false">B52</f>
        <v>0</v>
      </c>
      <c r="AR52" s="119" t="n">
        <f aca="false">S52</f>
        <v>0</v>
      </c>
      <c r="CN52" s="32"/>
      <c r="CO52" s="32"/>
    </row>
    <row r="53" customFormat="false" ht="12.8" hidden="false" customHeight="false" outlineLevel="0" collapsed="false">
      <c r="A53" s="32" t="n">
        <v>14</v>
      </c>
      <c r="B53" s="110" t="str">
        <f aca="false">C652</f>
        <v> </v>
      </c>
      <c r="C53" s="110"/>
      <c r="D53" s="110"/>
      <c r="E53" s="110"/>
      <c r="F53" s="65" t="n">
        <v>0</v>
      </c>
      <c r="G53" s="65" t="n">
        <v>0</v>
      </c>
      <c r="H53" s="65"/>
      <c r="I53" s="64" t="str">
        <f aca="false">IF(AND(B53&lt;&gt;" ",OR(F53&lt;1,H53&lt;&gt;"")),"Hidden","")</f>
        <v/>
      </c>
      <c r="J53" s="64" t="str">
        <f aca="true">IF(B53=" "," ",OFFSET(Cost_13_15,F53,0))</f>
        <v> </v>
      </c>
      <c r="K53" s="132" t="str">
        <f aca="true">IF(BF634,OFFSET(AX$616,BF634,0),"")</f>
        <v>Listen</v>
      </c>
      <c r="L53" s="132"/>
      <c r="M53" s="133" t="s">
        <v>217</v>
      </c>
      <c r="N53" s="133"/>
      <c r="O53" s="134" t="n">
        <f aca="true">IF(BF634,OFFSET(BB$616,BF634,0)," ")</f>
        <v>5</v>
      </c>
      <c r="P53" s="134" t="str">
        <f aca="false">IF(M53="N",O53+2,"")</f>
        <v/>
      </c>
      <c r="Q53" s="135" t="n">
        <f aca="false">IF(M53="Y",VLOOKUP(K53,KnackCost,6,0),VLOOKUP(K53,KnackCost,5,0))</f>
        <v>800</v>
      </c>
      <c r="R53" s="32" t="n">
        <v>14</v>
      </c>
      <c r="S53" s="110" t="str">
        <f aca="false">C693</f>
        <v> </v>
      </c>
      <c r="T53" s="110"/>
      <c r="U53" s="110"/>
      <c r="V53" s="110"/>
      <c r="W53" s="65" t="n">
        <v>0</v>
      </c>
      <c r="X53" s="65" t="n">
        <v>0</v>
      </c>
      <c r="Y53" s="65"/>
      <c r="Z53" s="64" t="str">
        <f aca="false">IF(AND(S53&lt;&gt;" ",OR(W53&lt;1,Y53&lt;&gt;"")),"Hidden","")</f>
        <v/>
      </c>
      <c r="AA53" s="66" t="str">
        <f aca="true">IF(S53=" ","",(OFFSET(Cost_5_8,W53,0))-(OFFSET(Cost_5_8,1,0))+R$608)</f>
        <v/>
      </c>
      <c r="AL53" s="42"/>
      <c r="AQ53" s="118" t="str">
        <f aca="false">B53</f>
        <v> </v>
      </c>
      <c r="AR53" s="119" t="str">
        <f aca="false">S53</f>
        <v> </v>
      </c>
      <c r="CN53" s="32"/>
      <c r="CO53" s="32"/>
    </row>
    <row r="54" customFormat="false" ht="12.8" hidden="false" customHeight="false" outlineLevel="0" collapsed="false">
      <c r="A54" s="32" t="n">
        <v>14</v>
      </c>
      <c r="B54" s="115"/>
      <c r="C54" s="115"/>
      <c r="D54" s="115"/>
      <c r="E54" s="115"/>
      <c r="F54" s="65" t="n">
        <v>0</v>
      </c>
      <c r="G54" s="65" t="n">
        <v>0</v>
      </c>
      <c r="H54" s="65"/>
      <c r="I54" s="64" t="str">
        <f aca="false">IF(AND(B54&lt;&gt;" ",OR(F54&lt;1,H54&lt;&gt;"")),"Hidden","")</f>
        <v>Hidden</v>
      </c>
      <c r="J54" s="64" t="n">
        <f aca="true">IF(B54=" "," ",OFFSET(Cost_13_15,F54,0))</f>
        <v>0</v>
      </c>
      <c r="K54" s="136" t="str">
        <f aca="true">IF(BF635,OFFSET(AX$616,BF635,0),"")</f>
        <v>Shadow Hide</v>
      </c>
      <c r="L54" s="136"/>
      <c r="M54" s="133" t="s">
        <v>217</v>
      </c>
      <c r="N54" s="133" t="s">
        <v>219</v>
      </c>
      <c r="O54" s="134" t="n">
        <f aca="true">IF(BF635,OFFSET(BB$616,BF635,0)," ")</f>
        <v>2</v>
      </c>
      <c r="P54" s="134" t="str">
        <f aca="false">IF(M54="N",O54+2,"")</f>
        <v/>
      </c>
      <c r="Q54" s="135" t="n">
        <f aca="false">IF(M54="Y",VLOOKUP(K54,KnackCost,6,0),VLOOKUP(K54,KnackCost,5,0))</f>
        <v>200</v>
      </c>
      <c r="R54" s="32" t="n">
        <v>14</v>
      </c>
      <c r="S54" s="115"/>
      <c r="T54" s="115"/>
      <c r="U54" s="115"/>
      <c r="V54" s="115"/>
      <c r="W54" s="65" t="n">
        <v>0</v>
      </c>
      <c r="X54" s="65" t="n">
        <v>0</v>
      </c>
      <c r="Y54" s="65"/>
      <c r="Z54" s="64" t="str">
        <f aca="false">IF(AND(S54&lt;&gt;" ",OR(W54&lt;1,Y54&lt;&gt;"")),"Hidden","")</f>
        <v>Hidden</v>
      </c>
      <c r="AA54" s="66" t="n">
        <f aca="true">IF(S54=" ","",(OFFSET(Cost_5_8,W54,0))-(OFFSET(Cost_5_8,1,0))+R$608)</f>
        <v>0</v>
      </c>
      <c r="AL54" s="42"/>
      <c r="AQ54" s="118" t="n">
        <f aca="false">B54</f>
        <v>0</v>
      </c>
      <c r="AR54" s="119" t="n">
        <f aca="false">S54</f>
        <v>0</v>
      </c>
      <c r="CN54" s="32"/>
      <c r="CO54" s="32"/>
    </row>
    <row r="55" customFormat="false" ht="12.75" hidden="false" customHeight="false" outlineLevel="0" collapsed="false">
      <c r="A55" s="32" t="n">
        <v>15</v>
      </c>
      <c r="B55" s="110" t="str">
        <f aca="false">C654</f>
        <v> </v>
      </c>
      <c r="C55" s="110"/>
      <c r="D55" s="110"/>
      <c r="E55" s="110"/>
      <c r="F55" s="65" t="n">
        <v>0</v>
      </c>
      <c r="G55" s="65" t="n">
        <v>0</v>
      </c>
      <c r="H55" s="65"/>
      <c r="I55" s="64" t="str">
        <f aca="false">IF(AND(B55&lt;&gt;" ",OR(F55&lt;1,H55&lt;&gt;"")),"Hidden","")</f>
        <v/>
      </c>
      <c r="J55" s="64" t="str">
        <f aca="true">IF(B55=" "," ",OFFSET(Cost_13_15,F55,0))</f>
        <v> </v>
      </c>
      <c r="K55" s="132" t="str">
        <f aca="true">IF(BF636,OFFSET(AX$616,BF636,0),"")</f>
        <v>Swinging Move</v>
      </c>
      <c r="L55" s="132"/>
      <c r="M55" s="133" t="s">
        <v>217</v>
      </c>
      <c r="N55" s="133"/>
      <c r="O55" s="134" t="n">
        <f aca="true">IF(BF636,OFFSET(BB$616,BF636,0)," ")</f>
        <v>3</v>
      </c>
      <c r="P55" s="134" t="str">
        <f aca="false">IF(M55="N",O55+2,"")</f>
        <v/>
      </c>
      <c r="Q55" s="135" t="n">
        <f aca="false">IF(M55="Y",VLOOKUP(K55,KnackCost,6,0),VLOOKUP(K55,KnackCost,5,0))</f>
        <v>300</v>
      </c>
      <c r="R55" s="32" t="n">
        <v>15</v>
      </c>
      <c r="S55" s="110" t="str">
        <f aca="false">C695</f>
        <v> </v>
      </c>
      <c r="T55" s="110"/>
      <c r="U55" s="110"/>
      <c r="V55" s="110"/>
      <c r="W55" s="65" t="n">
        <v>0</v>
      </c>
      <c r="X55" s="65" t="n">
        <v>0</v>
      </c>
      <c r="Y55" s="65"/>
      <c r="Z55" s="64" t="str">
        <f aca="false">IF(AND(S55&lt;&gt;" ",OR(W55&lt;1,Y55&lt;&gt;"")),"Hidden","")</f>
        <v/>
      </c>
      <c r="AA55" s="66" t="str">
        <f aca="true">IF(S55=" ","",(OFFSET(Cost_5_8,W55,0))-(OFFSET(Cost_5_8,1,0))+R$608)</f>
        <v/>
      </c>
      <c r="AL55" s="42"/>
      <c r="AQ55" s="118" t="str">
        <f aca="false">B55</f>
        <v> </v>
      </c>
      <c r="AR55" s="119" t="str">
        <f aca="false">S55</f>
        <v> </v>
      </c>
      <c r="CN55" s="32"/>
      <c r="CO55" s="32"/>
    </row>
    <row r="56" customFormat="false" ht="12.75" hidden="false" customHeight="false" outlineLevel="0" collapsed="false">
      <c r="A56" s="32" t="n">
        <v>15</v>
      </c>
      <c r="B56" s="115"/>
      <c r="C56" s="115"/>
      <c r="D56" s="115"/>
      <c r="E56" s="115"/>
      <c r="F56" s="65" t="n">
        <v>0</v>
      </c>
      <c r="G56" s="65" t="n">
        <v>0</v>
      </c>
      <c r="H56" s="65"/>
      <c r="I56" s="64" t="str">
        <f aca="false">IF(AND(B56&lt;&gt;" ",OR(F56&lt;1,H56&lt;&gt;"")),"Hidden","")</f>
        <v>Hidden</v>
      </c>
      <c r="J56" s="64" t="n">
        <f aca="true">IF(B56=" "," ",OFFSET(Cost_13_15,F56,0))</f>
        <v>0</v>
      </c>
      <c r="K56" s="132" t="str">
        <f aca="true">IF(BF637,OFFSET(AX$616,BF637,0),"")</f>
        <v>Traceless Stride</v>
      </c>
      <c r="L56" s="132"/>
      <c r="M56" s="133" t="s">
        <v>217</v>
      </c>
      <c r="N56" s="133"/>
      <c r="O56" s="134" t="n">
        <f aca="true">IF(BF637,OFFSET(BB$616,BF637,0)," ")</f>
        <v>6</v>
      </c>
      <c r="P56" s="134" t="str">
        <f aca="false">IF(M56="N",O56+2,"")</f>
        <v/>
      </c>
      <c r="Q56" s="135" t="n">
        <f aca="false">IF(M56="Y",VLOOKUP(K56,KnackCost,6,0),VLOOKUP(K56,KnackCost,5,0))</f>
        <v>1300</v>
      </c>
      <c r="R56" s="32" t="n">
        <v>15</v>
      </c>
      <c r="S56" s="115"/>
      <c r="T56" s="115"/>
      <c r="U56" s="115"/>
      <c r="V56" s="115"/>
      <c r="W56" s="65" t="n">
        <v>0</v>
      </c>
      <c r="X56" s="65" t="n">
        <v>0</v>
      </c>
      <c r="Y56" s="65"/>
      <c r="Z56" s="64" t="str">
        <f aca="false">IF(AND(S56&lt;&gt;" ",OR(W56&lt;1,Y56&lt;&gt;"")),"Hidden","")</f>
        <v>Hidden</v>
      </c>
      <c r="AA56" s="66" t="n">
        <f aca="true">IF(S56=" ","",(OFFSET(Cost_5_8,W56,0))-(OFFSET(Cost_5_8,1,0))+R$608)</f>
        <v>0</v>
      </c>
      <c r="AL56" s="42"/>
      <c r="AQ56" s="118" t="n">
        <f aca="false">B56</f>
        <v>0</v>
      </c>
      <c r="AR56" s="119" t="n">
        <f aca="false">S56</f>
        <v>0</v>
      </c>
      <c r="CN56" s="32"/>
      <c r="CO56" s="32"/>
    </row>
    <row r="57" customFormat="false" ht="12.75" hidden="false" customHeight="false" outlineLevel="0" collapsed="false">
      <c r="A57" s="32" t="n">
        <v>15</v>
      </c>
      <c r="B57" s="115"/>
      <c r="C57" s="115"/>
      <c r="D57" s="115"/>
      <c r="E57" s="115"/>
      <c r="F57" s="65" t="n">
        <v>0</v>
      </c>
      <c r="G57" s="65" t="n">
        <v>0</v>
      </c>
      <c r="H57" s="137"/>
      <c r="I57" s="95" t="str">
        <f aca="false">IF(AND(B57&lt;&gt;" ",OR(F57&lt;1,H57&lt;&gt;"")),"Hidden","")</f>
        <v>Hidden</v>
      </c>
      <c r="J57" s="95" t="n">
        <f aca="true">IF(B57=" "," ",OFFSET(Cost_13_15,F57,0))</f>
        <v>0</v>
      </c>
      <c r="K57" s="132" t="str">
        <f aca="true">IF(BF638,OFFSET(AX$616,BF638,0),"")</f>
        <v/>
      </c>
      <c r="L57" s="132"/>
      <c r="M57" s="133"/>
      <c r="N57" s="133"/>
      <c r="O57" s="134" t="str">
        <f aca="true">IF(BF638,OFFSET(BB$616,BF638,0)," ")</f>
        <v> </v>
      </c>
      <c r="P57" s="134" t="str">
        <f aca="false">IF(M57="N",O57+2,"")</f>
        <v/>
      </c>
      <c r="Q57" s="135" t="e">
        <f aca="false">IF(M57="Y",VLOOKUP(K57,KnackCost,6,0),VLOOKUP(K57,KnackCost,5,0))</f>
        <v>#N/A</v>
      </c>
      <c r="R57" s="32" t="n">
        <v>15</v>
      </c>
      <c r="S57" s="115"/>
      <c r="T57" s="115"/>
      <c r="U57" s="115"/>
      <c r="V57" s="115"/>
      <c r="W57" s="65" t="n">
        <v>0</v>
      </c>
      <c r="X57" s="65" t="n">
        <v>0</v>
      </c>
      <c r="Y57" s="137"/>
      <c r="Z57" s="95" t="str">
        <f aca="false">IF(AND(S57&lt;&gt;" ",OR(W57&lt;1,Y57&lt;&gt;"")),"Hidden","")</f>
        <v>Hidden</v>
      </c>
      <c r="AA57" s="126" t="n">
        <f aca="true">IF(S57=" ","",(OFFSET(Cost_5_8,W57,0))-(OFFSET(Cost_5_8,1,0))+R$608)</f>
        <v>0</v>
      </c>
      <c r="AL57" s="42"/>
      <c r="AQ57" s="138" t="n">
        <f aca="false">B57</f>
        <v>0</v>
      </c>
      <c r="AR57" s="139" t="n">
        <f aca="false">S57</f>
        <v>0</v>
      </c>
      <c r="CN57" s="32"/>
      <c r="CO57" s="32"/>
    </row>
    <row r="58" customFormat="false" ht="12.75" hidden="false" customHeight="false" outlineLevel="0" collapsed="false">
      <c r="K58" s="132" t="str">
        <f aca="true">IF(BF639,OFFSET(AX$616,BF639,0),"")</f>
        <v/>
      </c>
      <c r="L58" s="132"/>
      <c r="M58" s="133"/>
      <c r="N58" s="133"/>
      <c r="O58" s="134" t="str">
        <f aca="true">IF(BF639,OFFSET(BB$616,BF639,0)," ")</f>
        <v> </v>
      </c>
      <c r="P58" s="134" t="str">
        <f aca="false">IF(M58="N",O58+2,"")</f>
        <v/>
      </c>
      <c r="Q58" s="135" t="e">
        <f aca="false">IF(M58="Y",VLOOKUP(K58,KnackCost,6,0),VLOOKUP(K58,KnackCost,5,0))</f>
        <v>#N/A</v>
      </c>
      <c r="AA58" s="140"/>
      <c r="AL58" s="42"/>
      <c r="AQ58" s="61"/>
      <c r="AR58" s="141"/>
      <c r="CN58" s="32"/>
      <c r="CO58" s="32"/>
    </row>
    <row r="59" customFormat="false" ht="12.75" hidden="false" customHeight="false" outlineLevel="0" collapsed="false">
      <c r="K59" s="132" t="str">
        <f aca="true">IF(BF663,OFFSET(AX$616,BF663,0),"")</f>
        <v/>
      </c>
      <c r="L59" s="132"/>
      <c r="M59" s="133"/>
      <c r="N59" s="133"/>
      <c r="O59" s="134" t="str">
        <f aca="true">IF(BF663,OFFSET(BB$616,BF663,0)," ")</f>
        <v> </v>
      </c>
      <c r="P59" s="134" t="str">
        <f aca="false">IF(M59="N",O59+2,"")</f>
        <v/>
      </c>
      <c r="Q59" s="135" t="e">
        <f aca="false">IF(M59="Y",VLOOKUP(K59,KnackCost,6,0),VLOOKUP(K59,KnackCost,5,0))</f>
        <v>#N/A</v>
      </c>
      <c r="AA59" s="56"/>
      <c r="AL59" s="42"/>
      <c r="AQ59" s="61"/>
      <c r="AR59" s="141"/>
      <c r="CN59" s="32"/>
      <c r="CO59" s="32"/>
    </row>
    <row r="60" customFormat="false" ht="12.75" hidden="false" customHeight="false" outlineLevel="0" collapsed="false">
      <c r="K60" s="132" t="str">
        <f aca="true">IF(BF664,OFFSET(AX$616,BF664,0),"")</f>
        <v/>
      </c>
      <c r="L60" s="132"/>
      <c r="M60" s="133"/>
      <c r="N60" s="133"/>
      <c r="O60" s="134" t="str">
        <f aca="true">IF(BF664,OFFSET(BB$616,BF664,0)," ")</f>
        <v> </v>
      </c>
      <c r="P60" s="134" t="str">
        <f aca="false">IF(M60="N",O60+2,"")</f>
        <v/>
      </c>
      <c r="Q60" s="135" t="e">
        <f aca="false">IF(M60="Y",VLOOKUP(K60,KnackCost,6,0),VLOOKUP(K60,KnackCost,5,0))</f>
        <v>#N/A</v>
      </c>
      <c r="AA60" s="56"/>
      <c r="AL60" s="42"/>
      <c r="AQ60" s="61"/>
      <c r="AR60" s="141"/>
      <c r="CN60" s="32"/>
      <c r="CO60" s="32"/>
    </row>
    <row r="61" customFormat="false" ht="12.75" hidden="false" customHeight="true" outlineLevel="0" collapsed="false">
      <c r="B61" s="142" t="s">
        <v>221</v>
      </c>
      <c r="C61" s="142"/>
      <c r="D61" s="142"/>
      <c r="E61" s="142"/>
      <c r="G61" s="143" t="s">
        <v>222</v>
      </c>
      <c r="H61" s="143"/>
      <c r="I61" s="143"/>
      <c r="J61" s="143"/>
      <c r="K61" s="132" t="str">
        <f aca="true">IF(BF665,OFFSET(AX$616,BF665,0),"")</f>
        <v/>
      </c>
      <c r="L61" s="132"/>
      <c r="M61" s="133"/>
      <c r="N61" s="133"/>
      <c r="O61" s="134" t="str">
        <f aca="true">IF(BF665,OFFSET(BB$616,BF665,0)," ")</f>
        <v> </v>
      </c>
      <c r="P61" s="134" t="str">
        <f aca="false">IF(M61="N",O61+2,"")</f>
        <v/>
      </c>
      <c r="Q61" s="135" t="e">
        <f aca="false">IF(M61="Y",VLOOKUP(K61,KnackCost,6,0),VLOOKUP(K61,KnackCost,5,0))</f>
        <v>#N/A</v>
      </c>
      <c r="S61" s="50" t="s">
        <v>223</v>
      </c>
      <c r="T61" s="51"/>
      <c r="U61" s="51"/>
      <c r="V61" s="51"/>
      <c r="W61" s="51" t="s">
        <v>224</v>
      </c>
      <c r="X61" s="51"/>
      <c r="Y61" s="51"/>
      <c r="Z61" s="51"/>
      <c r="AA61" s="52"/>
      <c r="AL61" s="42"/>
      <c r="AQ61" s="61"/>
      <c r="AR61" s="61"/>
      <c r="CN61" s="32"/>
      <c r="CO61" s="32"/>
    </row>
    <row r="62" customFormat="false" ht="12.75" hidden="false" customHeight="false" outlineLevel="0" collapsed="false">
      <c r="B62" s="142"/>
      <c r="C62" s="142"/>
      <c r="D62" s="142"/>
      <c r="E62" s="142"/>
      <c r="G62" s="144" t="s">
        <v>225</v>
      </c>
      <c r="H62" s="145"/>
      <c r="I62" s="146" t="s">
        <v>196</v>
      </c>
      <c r="J62" s="146" t="s">
        <v>155</v>
      </c>
      <c r="K62" s="132" t="str">
        <f aca="true">IF(BF666,OFFSET(AX$616,BF666,0),"")</f>
        <v/>
      </c>
      <c r="L62" s="132"/>
      <c r="M62" s="133"/>
      <c r="N62" s="133"/>
      <c r="O62" s="134" t="str">
        <f aca="true">IF(BF666,OFFSET(BB$616,BF666,0)," ")</f>
        <v> </v>
      </c>
      <c r="P62" s="134" t="str">
        <f aca="false">IF(M62="N",O62+2,"")</f>
        <v/>
      </c>
      <c r="Q62" s="135" t="e">
        <f aca="false">IF(M62="Y",VLOOKUP(K62,KnackCost,6,0),VLOOKUP(K62,KnackCost,5,0))</f>
        <v>#N/A</v>
      </c>
      <c r="S62" s="62" t="s">
        <v>226</v>
      </c>
      <c r="T62" s="54"/>
      <c r="U62" s="54"/>
      <c r="V62" s="65" t="n">
        <v>8</v>
      </c>
      <c r="W62" s="147" t="s">
        <v>227</v>
      </c>
      <c r="X62" s="69"/>
      <c r="Y62" s="69"/>
      <c r="Z62" s="69"/>
      <c r="AA62" s="55"/>
      <c r="AL62" s="42"/>
      <c r="CN62" s="32"/>
      <c r="CO62" s="32"/>
    </row>
    <row r="63" customFormat="false" ht="12.75" hidden="false" customHeight="false" outlineLevel="0" collapsed="false">
      <c r="B63" s="148" t="s">
        <v>165</v>
      </c>
      <c r="C63" s="148"/>
      <c r="D63" s="65" t="n">
        <v>0</v>
      </c>
      <c r="E63" s="66" t="n">
        <f aca="true">IF(D63&lt;&gt;"",OFFSET(Cost_9_12,D63,0),"  ")</f>
        <v>0</v>
      </c>
      <c r="G63" s="149" t="s">
        <v>207</v>
      </c>
      <c r="H63" s="149"/>
      <c r="I63" s="65" t="n">
        <v>0</v>
      </c>
      <c r="J63" s="66" t="n">
        <f aca="true">IF(I63&lt;&gt;"",OFFSET(Cost_9_12,I63,0),"  ")</f>
        <v>0</v>
      </c>
      <c r="S63" s="62" t="s">
        <v>228</v>
      </c>
      <c r="T63" s="54"/>
      <c r="U63" s="54"/>
      <c r="V63" s="65" t="n">
        <v>0</v>
      </c>
      <c r="W63" s="147"/>
      <c r="X63" s="69"/>
      <c r="Y63" s="69"/>
      <c r="Z63" s="69"/>
      <c r="AA63" s="55"/>
      <c r="AL63" s="42"/>
      <c r="CN63" s="32"/>
      <c r="CO63" s="32"/>
    </row>
    <row r="64" customFormat="false" ht="12.75" hidden="false" customHeight="false" outlineLevel="0" collapsed="false">
      <c r="B64" s="148" t="s">
        <v>171</v>
      </c>
      <c r="C64" s="148"/>
      <c r="D64" s="65" t="n">
        <v>0</v>
      </c>
      <c r="E64" s="66" t="n">
        <f aca="true">IF(D64&lt;&gt;"",OFFSET(Cost_9_12,D64,0),"  ")</f>
        <v>0</v>
      </c>
      <c r="G64" s="150"/>
      <c r="H64" s="150"/>
      <c r="I64" s="65" t="n">
        <v>0</v>
      </c>
      <c r="J64" s="66" t="n">
        <f aca="true">IF(I64&lt;&gt;"",OFFSET(Cost_9_12,I64,0),"  ")</f>
        <v>0</v>
      </c>
      <c r="L64" s="50" t="s">
        <v>229</v>
      </c>
      <c r="M64" s="50"/>
      <c r="N64" s="50"/>
      <c r="O64" s="58" t="s">
        <v>196</v>
      </c>
      <c r="P64" s="58" t="s">
        <v>230</v>
      </c>
      <c r="Q64" s="52" t="s">
        <v>155</v>
      </c>
      <c r="S64" s="62" t="s">
        <v>231</v>
      </c>
      <c r="T64" s="54"/>
      <c r="U64" s="54"/>
      <c r="V64" s="65" t="n">
        <v>0</v>
      </c>
      <c r="W64" s="147"/>
      <c r="X64" s="69"/>
      <c r="Y64" s="69"/>
      <c r="Z64" s="69"/>
      <c r="AA64" s="55"/>
      <c r="AL64" s="42"/>
      <c r="CN64" s="32"/>
      <c r="CO64" s="32"/>
    </row>
    <row r="65" customFormat="false" ht="12.8" hidden="false" customHeight="false" outlineLevel="0" collapsed="false">
      <c r="B65" s="148" t="s">
        <v>178</v>
      </c>
      <c r="C65" s="148"/>
      <c r="D65" s="65" t="n">
        <v>0</v>
      </c>
      <c r="E65" s="66" t="n">
        <f aca="true">IF(D65&lt;&gt;"",OFFSET(Cost_9_12,D65,0),"  ")</f>
        <v>0</v>
      </c>
      <c r="G65" s="150"/>
      <c r="H65" s="150"/>
      <c r="I65" s="65" t="n">
        <v>0</v>
      </c>
      <c r="J65" s="66" t="n">
        <f aca="true">IF(I65&lt;&gt;"",OFFSET(Cost_9_12,I65,0),"  ")</f>
        <v>0</v>
      </c>
      <c r="L65" s="151" t="s">
        <v>232</v>
      </c>
      <c r="M65" s="151"/>
      <c r="N65" s="151"/>
      <c r="O65" s="133" t="n">
        <v>3</v>
      </c>
      <c r="P65" s="133" t="n">
        <v>100</v>
      </c>
      <c r="Q65" s="152" t="n">
        <f aca="true">IF(P65=100,OFFSET(Cost_1_4,O65,0),IF(P65=200,OFFSET(Cost_5_8,O65,0),IF(P65=300,OFFSET(Cost_9_12,O65,0),IF(P65=500,OFFSET(Cost_13_15,O65,0),""))))</f>
        <v>600</v>
      </c>
      <c r="S65" s="62" t="s">
        <v>233</v>
      </c>
      <c r="T65" s="54"/>
      <c r="U65" s="54"/>
      <c r="V65" s="65" t="n">
        <v>0</v>
      </c>
      <c r="W65" s="147"/>
      <c r="X65" s="69"/>
      <c r="Y65" s="69"/>
      <c r="Z65" s="69"/>
      <c r="AA65" s="55"/>
      <c r="CN65" s="32"/>
      <c r="CO65" s="32"/>
    </row>
    <row r="66" customFormat="false" ht="12.75" hidden="false" customHeight="false" outlineLevel="0" collapsed="false">
      <c r="B66" s="148" t="s">
        <v>183</v>
      </c>
      <c r="C66" s="148"/>
      <c r="D66" s="65" t="n">
        <v>0</v>
      </c>
      <c r="E66" s="66" t="n">
        <f aca="true">IF(D66&lt;&gt;"",OFFSET(Cost_9_12,D66,0),"  ")</f>
        <v>0</v>
      </c>
      <c r="G66" s="150"/>
      <c r="H66" s="150"/>
      <c r="I66" s="65" t="n">
        <v>0</v>
      </c>
      <c r="J66" s="66" t="n">
        <f aca="true">IF(I66&lt;&gt;"",OFFSET(Cost_9_12,I66,0),"  ")</f>
        <v>0</v>
      </c>
      <c r="L66" s="151" t="s">
        <v>234</v>
      </c>
      <c r="M66" s="151"/>
      <c r="N66" s="151"/>
      <c r="O66" s="133" t="n">
        <v>4</v>
      </c>
      <c r="P66" s="133" t="n">
        <v>100</v>
      </c>
      <c r="Q66" s="152" t="n">
        <f aca="true">IF(P66=100,OFFSET(Cost_1_4,O66,0),IF(P66=200,OFFSET(Cost_5_8,O66,0),IF(P66=300,OFFSET(Cost_9_12,O66,0),IF(P66=500,OFFSET(Cost_13_15,O66,0),""))))</f>
        <v>1100</v>
      </c>
      <c r="S66" s="62" t="s">
        <v>235</v>
      </c>
      <c r="T66" s="54"/>
      <c r="U66" s="54"/>
      <c r="V66" s="65" t="n">
        <v>0</v>
      </c>
      <c r="W66" s="147"/>
      <c r="X66" s="69"/>
      <c r="Y66" s="69"/>
      <c r="Z66" s="69"/>
      <c r="AA66" s="55"/>
      <c r="CN66" s="32"/>
      <c r="CO66" s="32"/>
    </row>
    <row r="67" customFormat="false" ht="12.75" hidden="false" customHeight="false" outlineLevel="0" collapsed="false">
      <c r="B67" s="148" t="s">
        <v>187</v>
      </c>
      <c r="C67" s="148"/>
      <c r="D67" s="65" t="n">
        <v>0</v>
      </c>
      <c r="E67" s="66" t="n">
        <f aca="true">IF(D67&lt;&gt;"",OFFSET(Cost_9_12,D67,0),"  ")</f>
        <v>0</v>
      </c>
      <c r="G67" s="150"/>
      <c r="H67" s="150"/>
      <c r="I67" s="65" t="n">
        <v>0</v>
      </c>
      <c r="J67" s="66" t="n">
        <f aca="true">IF(I67&lt;&gt;"",OFFSET(Cost_9_12,I67,0),"  ")</f>
        <v>0</v>
      </c>
      <c r="L67" s="153" t="s">
        <v>236</v>
      </c>
      <c r="M67" s="153"/>
      <c r="N67" s="153"/>
      <c r="O67" s="133" t="n">
        <v>4</v>
      </c>
      <c r="P67" s="133" t="n">
        <v>100</v>
      </c>
      <c r="Q67" s="152" t="n">
        <f aca="true">IF(P67=100,OFFSET(Cost_1_4,O67,0),IF(P67=200,OFFSET(Cost_5_8,O67,0),IF(P67=300,OFFSET(Cost_9_12,O67,0),IF(P67=500,OFFSET(Cost_13_15,O67,0),""))))</f>
        <v>1100</v>
      </c>
      <c r="S67" s="62" t="s">
        <v>237</v>
      </c>
      <c r="T67" s="54"/>
      <c r="U67" s="54"/>
      <c r="V67" s="65" t="n">
        <v>0</v>
      </c>
      <c r="W67" s="147"/>
      <c r="X67" s="69"/>
      <c r="Y67" s="69"/>
      <c r="Z67" s="69"/>
      <c r="AA67" s="55"/>
      <c r="CN67" s="32"/>
      <c r="CO67" s="32"/>
    </row>
    <row r="68" customFormat="false" ht="12.75" hidden="false" customHeight="false" outlineLevel="0" collapsed="false">
      <c r="B68" s="148" t="s">
        <v>191</v>
      </c>
      <c r="C68" s="148"/>
      <c r="D68" s="65" t="n">
        <v>0</v>
      </c>
      <c r="E68" s="66" t="n">
        <f aca="true">IF(D68&lt;&gt;"",OFFSET(Cost_9_12,D68,0),"  ")</f>
        <v>0</v>
      </c>
      <c r="G68" s="154"/>
      <c r="H68" s="154"/>
      <c r="I68" s="65" t="n">
        <v>0</v>
      </c>
      <c r="J68" s="66" t="n">
        <f aca="true">IF(I68&lt;&gt;"",OFFSET(Cost_9_12,I68,0),"  ")</f>
        <v>0</v>
      </c>
      <c r="L68" s="150" t="s">
        <v>238</v>
      </c>
      <c r="M68" s="150"/>
      <c r="N68" s="150"/>
      <c r="O68" s="133" t="n">
        <v>4</v>
      </c>
      <c r="P68" s="133" t="n">
        <v>100</v>
      </c>
      <c r="Q68" s="152" t="n">
        <f aca="true">IF(P68=100,OFFSET(Cost_1_4,O68,0),IF(P68=200,OFFSET(Cost_5_8,O68,0),IF(P68=300,OFFSET(Cost_9_12,O68,0),IF(P68=500,OFFSET(Cost_13_15,O68,0),""))))</f>
        <v>1100</v>
      </c>
      <c r="S68" s="62" t="s">
        <v>239</v>
      </c>
      <c r="T68" s="54"/>
      <c r="U68" s="54"/>
      <c r="V68" s="65" t="n">
        <v>0</v>
      </c>
      <c r="W68" s="147"/>
      <c r="X68" s="69"/>
      <c r="Y68" s="69"/>
      <c r="Z68" s="69"/>
      <c r="AA68" s="55"/>
      <c r="CN68" s="32"/>
      <c r="CO68" s="32"/>
    </row>
    <row r="69" customFormat="false" ht="12.75" hidden="false" customHeight="false" outlineLevel="0" collapsed="false">
      <c r="B69" s="148" t="s">
        <v>240</v>
      </c>
      <c r="C69" s="148"/>
      <c r="D69" s="65" t="n">
        <v>0</v>
      </c>
      <c r="E69" s="66" t="n">
        <f aca="true">IF(D69&lt;&gt;"",OFFSET(Cost_9_12,D69,0),"  ")</f>
        <v>0</v>
      </c>
      <c r="G69" s="154"/>
      <c r="H69" s="154"/>
      <c r="I69" s="65" t="n">
        <v>0</v>
      </c>
      <c r="J69" s="66" t="n">
        <f aca="true">IF(I69&lt;&gt;"",OFFSET(Cost_9_12,I69,0),"  ")</f>
        <v>0</v>
      </c>
      <c r="L69" s="150" t="s">
        <v>241</v>
      </c>
      <c r="M69" s="150"/>
      <c r="N69" s="150"/>
      <c r="O69" s="133" t="n">
        <v>4</v>
      </c>
      <c r="P69" s="133" t="n">
        <v>100</v>
      </c>
      <c r="Q69" s="152" t="n">
        <f aca="true">IF(P69=100,OFFSET(Cost_1_4,O69,0),IF(P69=200,OFFSET(Cost_5_8,O69,0),IF(P69=300,OFFSET(Cost_9_12,O69,0),IF(P69=500,OFFSET(Cost_13_15,O69,0),""))))</f>
        <v>1100</v>
      </c>
      <c r="S69" s="62" t="s">
        <v>242</v>
      </c>
      <c r="T69" s="54"/>
      <c r="U69" s="54"/>
      <c r="V69" s="65" t="n">
        <v>0</v>
      </c>
      <c r="W69" s="147"/>
      <c r="X69" s="69"/>
      <c r="Y69" s="69"/>
      <c r="Z69" s="69"/>
      <c r="AA69" s="55"/>
      <c r="CN69" s="32"/>
      <c r="CO69" s="32"/>
    </row>
    <row r="70" customFormat="false" ht="12.75" hidden="false" customHeight="false" outlineLevel="0" collapsed="false">
      <c r="B70" s="148" t="s">
        <v>228</v>
      </c>
      <c r="C70" s="148"/>
      <c r="D70" s="65" t="n">
        <v>0</v>
      </c>
      <c r="E70" s="66" t="n">
        <f aca="true">IF(D70&lt;&gt;"",OFFSET(Cost_9_12,D70,0),"  ")</f>
        <v>0</v>
      </c>
      <c r="G70" s="154"/>
      <c r="H70" s="154"/>
      <c r="I70" s="65" t="n">
        <v>0</v>
      </c>
      <c r="J70" s="66" t="n">
        <f aca="true">IF(I70&lt;&gt;"",OFFSET(Cost_9_12,I70,0),"  ")</f>
        <v>0</v>
      </c>
      <c r="L70" s="150"/>
      <c r="M70" s="150"/>
      <c r="N70" s="150"/>
      <c r="O70" s="133"/>
      <c r="P70" s="133"/>
      <c r="Q70" s="152" t="str">
        <f aca="true">IF(P70=100,OFFSET(Cost_1_4,O70,0),IF(P70=200,OFFSET(Cost_5_8,O70,0),IF(P70=300,OFFSET(Cost_9_12,O70,0),IF(P70=500,OFFSET(Cost_13_15,O70,0),""))))</f>
        <v/>
      </c>
      <c r="S70" s="62" t="s">
        <v>243</v>
      </c>
      <c r="T70" s="54"/>
      <c r="U70" s="54"/>
      <c r="V70" s="65" t="n">
        <v>0</v>
      </c>
      <c r="W70" s="147"/>
      <c r="X70" s="69"/>
      <c r="Y70" s="69"/>
      <c r="Z70" s="69"/>
      <c r="AA70" s="55"/>
      <c r="CN70" s="32"/>
      <c r="CO70" s="32"/>
    </row>
    <row r="71" customFormat="false" ht="12.75" hidden="false" customHeight="false" outlineLevel="0" collapsed="false">
      <c r="B71" s="148" t="s">
        <v>231</v>
      </c>
      <c r="C71" s="148"/>
      <c r="D71" s="65" t="n">
        <v>0</v>
      </c>
      <c r="E71" s="66" t="n">
        <f aca="true">IF(D71&lt;&gt;"",OFFSET(Cost_9_12,D71,0),"  ")</f>
        <v>0</v>
      </c>
      <c r="G71" s="154"/>
      <c r="H71" s="154"/>
      <c r="I71" s="65" t="n">
        <v>0</v>
      </c>
      <c r="J71" s="66" t="n">
        <f aca="true">IF(I71&lt;&gt;"",OFFSET(Cost_9_12,I71,0),"  ")</f>
        <v>0</v>
      </c>
      <c r="L71" s="154"/>
      <c r="M71" s="154"/>
      <c r="N71" s="154"/>
      <c r="O71" s="133"/>
      <c r="P71" s="133"/>
      <c r="Q71" s="152" t="str">
        <f aca="true">IF(P71=100,OFFSET(Cost_1_4,O71,0),IF(P71=200,OFFSET(Cost_5_8,O71,0),IF(P71=300,OFFSET(Cost_9_12,O71,0),IF(P71=500,OFFSET(Cost_13_15,O71,0),""))))</f>
        <v/>
      </c>
      <c r="S71" s="62" t="s">
        <v>244</v>
      </c>
      <c r="T71" s="54"/>
      <c r="U71" s="54"/>
      <c r="V71" s="65" t="n">
        <v>0</v>
      </c>
      <c r="W71" s="147"/>
      <c r="X71" s="69"/>
      <c r="Y71" s="69"/>
      <c r="Z71" s="69"/>
      <c r="AA71" s="55"/>
      <c r="CN71" s="32"/>
      <c r="CO71" s="32"/>
    </row>
    <row r="72" customFormat="false" ht="12.75" hidden="false" customHeight="false" outlineLevel="0" collapsed="false">
      <c r="B72" s="148" t="s">
        <v>235</v>
      </c>
      <c r="C72" s="148"/>
      <c r="D72" s="65" t="n">
        <v>0</v>
      </c>
      <c r="E72" s="66" t="n">
        <f aca="true">IF(D72&lt;&gt;"",OFFSET(Cost_9_12,D72,0),"  ")</f>
        <v>0</v>
      </c>
      <c r="G72" s="154"/>
      <c r="H72" s="154"/>
      <c r="I72" s="65" t="n">
        <v>0</v>
      </c>
      <c r="J72" s="66" t="n">
        <f aca="true">IF(I72&lt;&gt;"",OFFSET(Cost_9_12,I72,0),"  ")</f>
        <v>0</v>
      </c>
      <c r="L72" s="154"/>
      <c r="M72" s="154"/>
      <c r="N72" s="154"/>
      <c r="O72" s="133"/>
      <c r="P72" s="133"/>
      <c r="Q72" s="152" t="str">
        <f aca="true">IF(P72=100,OFFSET(Cost_1_4,O72,0),IF(P72=200,OFFSET(Cost_5_8,O72,0),IF(P72=300,OFFSET(Cost_9_12,O72,0),IF(P72=500,OFFSET(Cost_13_15,O72,0),""))))</f>
        <v/>
      </c>
      <c r="S72" s="62" t="s">
        <v>165</v>
      </c>
      <c r="T72" s="54"/>
      <c r="U72" s="54"/>
      <c r="V72" s="65" t="n">
        <v>0</v>
      </c>
      <c r="W72" s="147"/>
      <c r="X72" s="69"/>
      <c r="Y72" s="69"/>
      <c r="Z72" s="69"/>
      <c r="AA72" s="55"/>
      <c r="CN72" s="32"/>
      <c r="CO72" s="32"/>
    </row>
    <row r="73" customFormat="false" ht="12.75" hidden="false" customHeight="false" outlineLevel="0" collapsed="false">
      <c r="B73" s="148" t="s">
        <v>245</v>
      </c>
      <c r="C73" s="148"/>
      <c r="D73" s="65" t="n">
        <v>0</v>
      </c>
      <c r="E73" s="66" t="n">
        <f aca="true">IF(D73&lt;&gt;"",OFFSET(Cost_9_12,D73,0),"  ")</f>
        <v>0</v>
      </c>
      <c r="G73" s="154"/>
      <c r="H73" s="154"/>
      <c r="I73" s="65" t="n">
        <v>0</v>
      </c>
      <c r="J73" s="66" t="n">
        <f aca="true">IF(I73&lt;&gt;"",OFFSET(Cost_9_12,I73,0),"  ")</f>
        <v>0</v>
      </c>
      <c r="L73" s="154"/>
      <c r="M73" s="154"/>
      <c r="N73" s="154"/>
      <c r="O73" s="133"/>
      <c r="P73" s="133"/>
      <c r="Q73" s="152" t="str">
        <f aca="true">IF(P73=100,OFFSET(Cost_1_4,O73,0),IF(P73=200,OFFSET(Cost_5_8,O73,0),IF(P73=300,OFFSET(Cost_9_12,O73,0),IF(P73=500,OFFSET(Cost_13_15,O73,0),""))))</f>
        <v/>
      </c>
      <c r="S73" s="62" t="s">
        <v>171</v>
      </c>
      <c r="T73" s="54"/>
      <c r="U73" s="54"/>
      <c r="V73" s="65" t="n">
        <v>0</v>
      </c>
      <c r="W73" s="147"/>
      <c r="X73" s="69"/>
      <c r="Y73" s="69"/>
      <c r="Z73" s="69"/>
      <c r="AA73" s="55"/>
      <c r="CN73" s="32"/>
      <c r="CO73" s="32"/>
    </row>
    <row r="74" customFormat="false" ht="12.75" hidden="false" customHeight="false" outlineLevel="0" collapsed="false">
      <c r="B74" s="148" t="s">
        <v>237</v>
      </c>
      <c r="C74" s="148"/>
      <c r="D74" s="65" t="n">
        <v>0</v>
      </c>
      <c r="E74" s="66" t="n">
        <f aca="true">IF(D74&lt;&gt;"",OFFSET(Cost_9_12,D74,0),"  ")</f>
        <v>0</v>
      </c>
      <c r="G74" s="154"/>
      <c r="H74" s="154"/>
      <c r="I74" s="65" t="n">
        <v>0</v>
      </c>
      <c r="J74" s="66" t="n">
        <f aca="true">IF(I74&lt;&gt;"",OFFSET(Cost_9_12,I74,0),"  ")</f>
        <v>0</v>
      </c>
      <c r="L74" s="154"/>
      <c r="M74" s="154"/>
      <c r="N74" s="154"/>
      <c r="O74" s="133"/>
      <c r="P74" s="133"/>
      <c r="Q74" s="152" t="str">
        <f aca="true">IF(P74=100,OFFSET(Cost_1_4,O74,0),IF(P74=200,OFFSET(Cost_5_8,O74,0),IF(P74=300,OFFSET(Cost_9_12,O74,0),IF(P74=500,OFFSET(Cost_13_15,O74,0),""))))</f>
        <v/>
      </c>
      <c r="S74" s="62" t="s">
        <v>178</v>
      </c>
      <c r="T74" s="54"/>
      <c r="U74" s="54"/>
      <c r="V74" s="65" t="n">
        <v>0</v>
      </c>
      <c r="W74" s="147"/>
      <c r="X74" s="69"/>
      <c r="Y74" s="69"/>
      <c r="Z74" s="69"/>
      <c r="AA74" s="55"/>
      <c r="CN74" s="32"/>
      <c r="CO74" s="32"/>
    </row>
    <row r="75" customFormat="false" ht="12.75" hidden="false" customHeight="false" outlineLevel="0" collapsed="false">
      <c r="B75" s="155" t="s">
        <v>242</v>
      </c>
      <c r="C75" s="155"/>
      <c r="D75" s="65" t="n">
        <v>0</v>
      </c>
      <c r="E75" s="156" t="n">
        <f aca="true">IF(D75&lt;&gt;"",OFFSET(Cost_9_12,D75,0),"  ")</f>
        <v>0</v>
      </c>
      <c r="G75" s="157"/>
      <c r="H75" s="157"/>
      <c r="I75" s="65" t="n">
        <v>0</v>
      </c>
      <c r="J75" s="156" t="n">
        <f aca="true">IF(I75&lt;&gt;"",OFFSET(Cost_9_12,I75,0),"  ")</f>
        <v>0</v>
      </c>
      <c r="L75" s="154"/>
      <c r="M75" s="154"/>
      <c r="N75" s="154"/>
      <c r="O75" s="133"/>
      <c r="P75" s="133"/>
      <c r="Q75" s="152" t="str">
        <f aca="true">IF(P75=100,OFFSET(Cost_1_4,O75,0),IF(P75=200,OFFSET(Cost_5_8,O75,0),IF(P75=300,OFFSET(Cost_9_12,O75,0),IF(P75=500,OFFSET(Cost_13_15,O75,0),""))))</f>
        <v/>
      </c>
      <c r="S75" s="62" t="s">
        <v>183</v>
      </c>
      <c r="T75" s="54"/>
      <c r="U75" s="54"/>
      <c r="V75" s="65" t="n">
        <v>0</v>
      </c>
      <c r="W75" s="147"/>
      <c r="X75" s="69"/>
      <c r="Y75" s="69"/>
      <c r="Z75" s="69"/>
      <c r="AA75" s="55"/>
      <c r="CN75" s="32"/>
      <c r="CO75" s="32"/>
    </row>
    <row r="76" customFormat="false" ht="12.75" hidden="false" customHeight="false" outlineLevel="0" collapsed="false">
      <c r="L76" s="154"/>
      <c r="M76" s="154"/>
      <c r="N76" s="154"/>
      <c r="O76" s="133"/>
      <c r="P76" s="133"/>
      <c r="Q76" s="152" t="str">
        <f aca="true">IF(P76=100,OFFSET(Cost_1_4,O76,0),IF(P76=200,OFFSET(Cost_5_8,O76,0),IF(P76=300,OFFSET(Cost_9_12,O76,0),IF(P76=500,OFFSET(Cost_13_15,O76,0),""))))</f>
        <v/>
      </c>
      <c r="S76" s="62" t="s">
        <v>187</v>
      </c>
      <c r="T76" s="54"/>
      <c r="U76" s="54"/>
      <c r="V76" s="65" t="n">
        <v>0</v>
      </c>
      <c r="W76" s="147"/>
      <c r="X76" s="69"/>
      <c r="Y76" s="69"/>
      <c r="Z76" s="69"/>
      <c r="AA76" s="55"/>
      <c r="CN76" s="32"/>
      <c r="CO76" s="32"/>
    </row>
    <row r="77" customFormat="false" ht="12.75" hidden="false" customHeight="false" outlineLevel="0" collapsed="false">
      <c r="L77" s="154"/>
      <c r="M77" s="154"/>
      <c r="N77" s="154"/>
      <c r="O77" s="158"/>
      <c r="P77" s="159"/>
      <c r="Q77" s="160" t="str">
        <f aca="true">IF(P77=100,OFFSET(Cost_1_4,O77,0),IF(P77=200,OFFSET(Cost_5_8,O77,0),IF(P77=300,OFFSET(Cost_9_12,O77,0),IF(P77=500,OFFSET(Cost_13_15,O77,0),""))))</f>
        <v/>
      </c>
      <c r="S77" s="62" t="s">
        <v>191</v>
      </c>
      <c r="T77" s="54"/>
      <c r="U77" s="54"/>
      <c r="V77" s="65" t="n">
        <v>0</v>
      </c>
      <c r="W77" s="147"/>
      <c r="X77" s="69"/>
      <c r="Y77" s="69"/>
      <c r="Z77" s="69"/>
      <c r="AA77" s="55"/>
      <c r="AM77" s="42"/>
      <c r="CN77" s="32"/>
      <c r="CO77" s="32"/>
    </row>
    <row r="78" customFormat="false" ht="12.75" hidden="false" customHeight="false" outlineLevel="0" collapsed="false">
      <c r="L78" s="157"/>
      <c r="M78" s="157"/>
      <c r="N78" s="157"/>
      <c r="O78" s="161"/>
      <c r="P78" s="161"/>
      <c r="Q78" s="162" t="str">
        <f aca="true">IF(P78=100,OFFSET(Cost_1_4,O78,0),IF(P78=200,OFFSET(Cost_5_8,O78,0),IF(P78=300,OFFSET(Cost_9_12,O78,0),IF(P78=500,OFFSET(Cost_13_15,O78,0),""))))</f>
        <v/>
      </c>
      <c r="S78" s="99" t="s">
        <v>246</v>
      </c>
      <c r="T78" s="100"/>
      <c r="U78" s="100"/>
      <c r="V78" s="65" t="n">
        <v>0</v>
      </c>
      <c r="W78" s="163"/>
      <c r="X78" s="164"/>
      <c r="Y78" s="164"/>
      <c r="Z78" s="164"/>
      <c r="AA78" s="165"/>
      <c r="CN78" s="32"/>
      <c r="CO78" s="32"/>
    </row>
    <row r="79" customFormat="false" ht="12.75" hidden="false" customHeight="false" outlineLevel="0" collapsed="false">
      <c r="S79" s="56"/>
      <c r="T79" s="56"/>
      <c r="U79" s="56"/>
      <c r="V79" s="42"/>
      <c r="W79" s="56"/>
      <c r="X79" s="56"/>
      <c r="Y79" s="56"/>
      <c r="Z79" s="56"/>
      <c r="AA79" s="56"/>
      <c r="AB79" s="56"/>
      <c r="CN79" s="32"/>
      <c r="CO79" s="32"/>
    </row>
    <row r="80" customFormat="false" ht="12.75" hidden="false" customHeight="false" outlineLevel="0" collapsed="false">
      <c r="B80" s="50" t="s">
        <v>247</v>
      </c>
      <c r="C80" s="51"/>
      <c r="D80" s="51"/>
      <c r="E80" s="58" t="s">
        <v>195</v>
      </c>
      <c r="F80" s="58" t="s">
        <v>196</v>
      </c>
      <c r="G80" s="58" t="s">
        <v>248</v>
      </c>
      <c r="H80" s="59" t="s">
        <v>249</v>
      </c>
      <c r="I80" s="59"/>
      <c r="K80" s="50" t="s">
        <v>250</v>
      </c>
      <c r="L80" s="51"/>
      <c r="M80" s="51"/>
      <c r="N80" s="58" t="s">
        <v>195</v>
      </c>
      <c r="O80" s="58" t="s">
        <v>196</v>
      </c>
      <c r="P80" s="58" t="s">
        <v>248</v>
      </c>
      <c r="Q80" s="59" t="s">
        <v>249</v>
      </c>
      <c r="R80" s="59"/>
      <c r="T80" s="50" t="s">
        <v>250</v>
      </c>
      <c r="U80" s="50"/>
      <c r="V80" s="50"/>
      <c r="W80" s="58" t="s">
        <v>195</v>
      </c>
      <c r="X80" s="58" t="s">
        <v>196</v>
      </c>
      <c r="Y80" s="58" t="s">
        <v>248</v>
      </c>
      <c r="Z80" s="59" t="s">
        <v>251</v>
      </c>
      <c r="AA80" s="59"/>
      <c r="CN80" s="32"/>
      <c r="CO80" s="32"/>
    </row>
    <row r="81" customFormat="false" ht="12.75" hidden="false" customHeight="false" outlineLevel="0" collapsed="false">
      <c r="B81" s="166" t="s">
        <v>252</v>
      </c>
      <c r="C81" s="67"/>
      <c r="D81" s="67"/>
      <c r="E81" s="65" t="n">
        <v>0</v>
      </c>
      <c r="F81" s="65" t="n">
        <v>0</v>
      </c>
      <c r="G81" s="64" t="s">
        <v>253</v>
      </c>
      <c r="H81" s="88"/>
      <c r="I81" s="88"/>
      <c r="K81" s="166" t="s">
        <v>254</v>
      </c>
      <c r="L81" s="67"/>
      <c r="M81" s="67"/>
      <c r="N81" s="65" t="n">
        <v>0</v>
      </c>
      <c r="O81" s="65" t="n">
        <v>0</v>
      </c>
      <c r="P81" s="64" t="s">
        <v>255</v>
      </c>
      <c r="Q81" s="88"/>
      <c r="R81" s="88"/>
      <c r="T81" s="166" t="s">
        <v>256</v>
      </c>
      <c r="U81" s="67"/>
      <c r="V81" s="67"/>
      <c r="W81" s="65" t="n">
        <v>0</v>
      </c>
      <c r="X81" s="65" t="n">
        <v>0</v>
      </c>
      <c r="Y81" s="64" t="s">
        <v>255</v>
      </c>
      <c r="Z81" s="167"/>
      <c r="AA81" s="167"/>
      <c r="CN81" s="32"/>
      <c r="CO81" s="32"/>
    </row>
    <row r="82" customFormat="false" ht="12.75" hidden="false" customHeight="false" outlineLevel="0" collapsed="false">
      <c r="B82" s="166" t="s">
        <v>257</v>
      </c>
      <c r="C82" s="67"/>
      <c r="D82" s="67"/>
      <c r="E82" s="65" t="n">
        <v>0</v>
      </c>
      <c r="F82" s="65" t="n">
        <v>0</v>
      </c>
      <c r="G82" s="64" t="s">
        <v>253</v>
      </c>
      <c r="H82" s="88"/>
      <c r="I82" s="88"/>
      <c r="K82" s="166" t="s">
        <v>258</v>
      </c>
      <c r="L82" s="67"/>
      <c r="M82" s="67"/>
      <c r="N82" s="65" t="n">
        <v>0</v>
      </c>
      <c r="O82" s="65" t="n">
        <v>1</v>
      </c>
      <c r="P82" s="64" t="s">
        <v>259</v>
      </c>
      <c r="Q82" s="88"/>
      <c r="R82" s="88"/>
      <c r="T82" s="166" t="s">
        <v>210</v>
      </c>
      <c r="U82" s="67"/>
      <c r="V82" s="67"/>
      <c r="W82" s="65" t="n">
        <v>0</v>
      </c>
      <c r="X82" s="65" t="n">
        <v>0</v>
      </c>
      <c r="Y82" s="64" t="s">
        <v>255</v>
      </c>
      <c r="Z82" s="167"/>
      <c r="AA82" s="167"/>
      <c r="CN82" s="32"/>
      <c r="CO82" s="32"/>
    </row>
    <row r="83" customFormat="false" ht="12.75" hidden="false" customHeight="false" outlineLevel="0" collapsed="false">
      <c r="B83" s="166" t="s">
        <v>260</v>
      </c>
      <c r="C83" s="67"/>
      <c r="D83" s="67"/>
      <c r="E83" s="65" t="n">
        <v>0</v>
      </c>
      <c r="F83" s="65" t="n">
        <v>0</v>
      </c>
      <c r="G83" s="64" t="s">
        <v>253</v>
      </c>
      <c r="H83" s="88"/>
      <c r="I83" s="88"/>
      <c r="K83" s="166" t="s">
        <v>261</v>
      </c>
      <c r="L83" s="67"/>
      <c r="M83" s="67"/>
      <c r="N83" s="65" t="n">
        <v>0</v>
      </c>
      <c r="O83" s="65" t="n">
        <v>0</v>
      </c>
      <c r="P83" s="64" t="s">
        <v>262</v>
      </c>
      <c r="Q83" s="88"/>
      <c r="R83" s="88"/>
      <c r="T83" s="166" t="s">
        <v>263</v>
      </c>
      <c r="U83" s="67"/>
      <c r="V83" s="67"/>
      <c r="W83" s="65" t="n">
        <v>0</v>
      </c>
      <c r="X83" s="65" t="n">
        <v>0</v>
      </c>
      <c r="Y83" s="64" t="s">
        <v>253</v>
      </c>
      <c r="Z83" s="167"/>
      <c r="AA83" s="167"/>
      <c r="CN83" s="32"/>
      <c r="CO83" s="32"/>
    </row>
    <row r="84" customFormat="false" ht="12.75" hidden="false" customHeight="false" outlineLevel="0" collapsed="false">
      <c r="B84" s="166" t="s">
        <v>264</v>
      </c>
      <c r="C84" s="67"/>
      <c r="D84" s="67"/>
      <c r="E84" s="65" t="n">
        <v>0</v>
      </c>
      <c r="F84" s="65" t="n">
        <v>0</v>
      </c>
      <c r="G84" s="64" t="s">
        <v>253</v>
      </c>
      <c r="H84" s="88"/>
      <c r="I84" s="88"/>
      <c r="K84" s="166" t="s">
        <v>265</v>
      </c>
      <c r="L84" s="67"/>
      <c r="M84" s="67"/>
      <c r="N84" s="65" t="n">
        <v>0</v>
      </c>
      <c r="O84" s="65" t="n">
        <v>0</v>
      </c>
      <c r="P84" s="64" t="s">
        <v>253</v>
      </c>
      <c r="Q84" s="88"/>
      <c r="R84" s="88"/>
      <c r="T84" s="166" t="s">
        <v>266</v>
      </c>
      <c r="U84" s="67"/>
      <c r="V84" s="67"/>
      <c r="W84" s="65" t="n">
        <v>0</v>
      </c>
      <c r="X84" s="65" t="n">
        <v>0</v>
      </c>
      <c r="Y84" s="64" t="s">
        <v>259</v>
      </c>
      <c r="Z84" s="167"/>
      <c r="AA84" s="167"/>
      <c r="CN84" s="32"/>
      <c r="CO84" s="32"/>
    </row>
    <row r="85" customFormat="false" ht="12.75" hidden="false" customHeight="false" outlineLevel="0" collapsed="false">
      <c r="B85" s="166" t="s">
        <v>267</v>
      </c>
      <c r="C85" s="67"/>
      <c r="D85" s="67"/>
      <c r="E85" s="65" t="n">
        <v>0</v>
      </c>
      <c r="F85" s="65" t="n">
        <v>0</v>
      </c>
      <c r="G85" s="64" t="s">
        <v>253</v>
      </c>
      <c r="H85" s="88"/>
      <c r="I85" s="88"/>
      <c r="K85" s="166" t="s">
        <v>268</v>
      </c>
      <c r="L85" s="67"/>
      <c r="M85" s="67"/>
      <c r="N85" s="65" t="n">
        <v>0</v>
      </c>
      <c r="O85" s="65" t="n">
        <v>0</v>
      </c>
      <c r="P85" s="64" t="s">
        <v>259</v>
      </c>
      <c r="Q85" s="88"/>
      <c r="R85" s="88"/>
      <c r="T85" s="166" t="s">
        <v>269</v>
      </c>
      <c r="U85" s="67"/>
      <c r="V85" s="67"/>
      <c r="W85" s="65" t="n">
        <v>0</v>
      </c>
      <c r="X85" s="65" t="n">
        <v>0</v>
      </c>
      <c r="Y85" s="64" t="s">
        <v>270</v>
      </c>
      <c r="Z85" s="167"/>
      <c r="AA85" s="167"/>
      <c r="CN85" s="32"/>
      <c r="CO85" s="32"/>
    </row>
    <row r="86" customFormat="false" ht="12.75" hidden="false" customHeight="false" outlineLevel="0" collapsed="false">
      <c r="B86" s="166" t="s">
        <v>271</v>
      </c>
      <c r="C86" s="67"/>
      <c r="D86" s="67"/>
      <c r="E86" s="65" t="n">
        <v>0</v>
      </c>
      <c r="F86" s="65" t="n">
        <v>1</v>
      </c>
      <c r="G86" s="64" t="s">
        <v>253</v>
      </c>
      <c r="H86" s="88"/>
      <c r="I86" s="88"/>
      <c r="K86" s="166" t="s">
        <v>272</v>
      </c>
      <c r="L86" s="67"/>
      <c r="M86" s="67"/>
      <c r="N86" s="65" t="n">
        <v>0</v>
      </c>
      <c r="O86" s="65" t="n">
        <v>0</v>
      </c>
      <c r="P86" s="64" t="s">
        <v>262</v>
      </c>
      <c r="Q86" s="88"/>
      <c r="R86" s="88"/>
      <c r="T86" s="166" t="s">
        <v>273</v>
      </c>
      <c r="U86" s="67"/>
      <c r="V86" s="67"/>
      <c r="W86" s="65" t="n">
        <v>0</v>
      </c>
      <c r="X86" s="65" t="n">
        <v>0</v>
      </c>
      <c r="Y86" s="64" t="s">
        <v>259</v>
      </c>
      <c r="Z86" s="88"/>
      <c r="AA86" s="88"/>
      <c r="CN86" s="32"/>
      <c r="CO86" s="32"/>
    </row>
    <row r="87" customFormat="false" ht="12.75" hidden="false" customHeight="false" outlineLevel="0" collapsed="false">
      <c r="B87" s="166" t="s">
        <v>274</v>
      </c>
      <c r="C87" s="67"/>
      <c r="D87" s="67"/>
      <c r="E87" s="65" t="n">
        <v>0</v>
      </c>
      <c r="F87" s="65" t="n">
        <v>0</v>
      </c>
      <c r="G87" s="64" t="s">
        <v>253</v>
      </c>
      <c r="H87" s="88"/>
      <c r="I87" s="88"/>
      <c r="K87" s="166" t="s">
        <v>275</v>
      </c>
      <c r="L87" s="67"/>
      <c r="M87" s="67"/>
      <c r="N87" s="65" t="n">
        <v>0</v>
      </c>
      <c r="O87" s="65" t="n">
        <v>0</v>
      </c>
      <c r="P87" s="64" t="s">
        <v>259</v>
      </c>
      <c r="Q87" s="88"/>
      <c r="R87" s="88"/>
      <c r="T87" s="166" t="s">
        <v>276</v>
      </c>
      <c r="U87" s="67"/>
      <c r="V87" s="67"/>
      <c r="W87" s="65" t="n">
        <v>0</v>
      </c>
      <c r="X87" s="65" t="n">
        <v>0</v>
      </c>
      <c r="Y87" s="64" t="s">
        <v>259</v>
      </c>
      <c r="Z87" s="88"/>
      <c r="AA87" s="88"/>
      <c r="CN87" s="32"/>
      <c r="CO87" s="32"/>
    </row>
    <row r="88" customFormat="false" ht="12.75" hidden="false" customHeight="false" outlineLevel="0" collapsed="false">
      <c r="B88" s="166" t="s">
        <v>277</v>
      </c>
      <c r="C88" s="67"/>
      <c r="D88" s="67"/>
      <c r="E88" s="65" t="n">
        <v>1</v>
      </c>
      <c r="F88" s="65" t="n">
        <v>1</v>
      </c>
      <c r="G88" s="64" t="s">
        <v>253</v>
      </c>
      <c r="H88" s="88"/>
      <c r="I88" s="88"/>
      <c r="K88" s="166" t="s">
        <v>278</v>
      </c>
      <c r="L88" s="67"/>
      <c r="M88" s="67"/>
      <c r="N88" s="65" t="n">
        <v>0</v>
      </c>
      <c r="O88" s="65" t="n">
        <v>0</v>
      </c>
      <c r="P88" s="64" t="s">
        <v>259</v>
      </c>
      <c r="Q88" s="88"/>
      <c r="R88" s="88"/>
      <c r="T88" s="166" t="s">
        <v>279</v>
      </c>
      <c r="U88" s="67"/>
      <c r="V88" s="67"/>
      <c r="W88" s="65" t="n">
        <v>0</v>
      </c>
      <c r="X88" s="65" t="n">
        <v>0</v>
      </c>
      <c r="Y88" s="64" t="s">
        <v>259</v>
      </c>
      <c r="Z88" s="88"/>
      <c r="AA88" s="88"/>
      <c r="CN88" s="32"/>
      <c r="CO88" s="32"/>
    </row>
    <row r="89" customFormat="false" ht="12.75" hidden="false" customHeight="false" outlineLevel="0" collapsed="false">
      <c r="B89" s="166" t="s">
        <v>280</v>
      </c>
      <c r="C89" s="67"/>
      <c r="D89" s="67"/>
      <c r="E89" s="65" t="n">
        <v>0</v>
      </c>
      <c r="F89" s="65" t="n">
        <v>0</v>
      </c>
      <c r="G89" s="64" t="s">
        <v>253</v>
      </c>
      <c r="H89" s="88"/>
      <c r="I89" s="88"/>
      <c r="K89" s="166" t="s">
        <v>281</v>
      </c>
      <c r="L89" s="67"/>
      <c r="M89" s="67"/>
      <c r="N89" s="65" t="n">
        <v>0</v>
      </c>
      <c r="O89" s="65" t="n">
        <v>0</v>
      </c>
      <c r="P89" s="64" t="s">
        <v>259</v>
      </c>
      <c r="Q89" s="88"/>
      <c r="R89" s="88"/>
      <c r="T89" s="166" t="s">
        <v>282</v>
      </c>
      <c r="U89" s="67"/>
      <c r="V89" s="67"/>
      <c r="W89" s="65" t="n">
        <v>0</v>
      </c>
      <c r="X89" s="65" t="n">
        <v>0</v>
      </c>
      <c r="Y89" s="64" t="s">
        <v>259</v>
      </c>
      <c r="Z89" s="88"/>
      <c r="AA89" s="88"/>
      <c r="CN89" s="32"/>
      <c r="CO89" s="32"/>
    </row>
    <row r="90" customFormat="false" ht="12.75" hidden="false" customHeight="false" outlineLevel="0" collapsed="false">
      <c r="B90" s="166" t="s">
        <v>283</v>
      </c>
      <c r="C90" s="67"/>
      <c r="D90" s="67"/>
      <c r="E90" s="65" t="n">
        <v>0</v>
      </c>
      <c r="F90" s="65" t="n">
        <v>0</v>
      </c>
      <c r="G90" s="64" t="s">
        <v>253</v>
      </c>
      <c r="H90" s="88"/>
      <c r="I90" s="88"/>
      <c r="K90" s="166" t="s">
        <v>284</v>
      </c>
      <c r="L90" s="67"/>
      <c r="M90" s="67"/>
      <c r="N90" s="65" t="n">
        <v>0</v>
      </c>
      <c r="O90" s="65" t="n">
        <v>0</v>
      </c>
      <c r="P90" s="64" t="s">
        <v>259</v>
      </c>
      <c r="Q90" s="88"/>
      <c r="R90" s="88"/>
      <c r="T90" s="166" t="s">
        <v>285</v>
      </c>
      <c r="U90" s="67"/>
      <c r="V90" s="67"/>
      <c r="W90" s="65" t="n">
        <v>0</v>
      </c>
      <c r="X90" s="65" t="n">
        <v>0</v>
      </c>
      <c r="Y90" s="64" t="s">
        <v>255</v>
      </c>
      <c r="Z90" s="88"/>
      <c r="AA90" s="88"/>
      <c r="CN90" s="32"/>
      <c r="CO90" s="32"/>
    </row>
    <row r="91" customFormat="false" ht="12.75" hidden="false" customHeight="false" outlineLevel="0" collapsed="false">
      <c r="B91" s="166" t="s">
        <v>286</v>
      </c>
      <c r="C91" s="67"/>
      <c r="D91" s="67"/>
      <c r="E91" s="65" t="n">
        <v>0</v>
      </c>
      <c r="F91" s="65" t="n">
        <v>0</v>
      </c>
      <c r="G91" s="64" t="s">
        <v>253</v>
      </c>
      <c r="H91" s="88"/>
      <c r="I91" s="88"/>
      <c r="K91" s="166" t="s">
        <v>287</v>
      </c>
      <c r="L91" s="67"/>
      <c r="M91" s="67"/>
      <c r="N91" s="65" t="n">
        <v>0</v>
      </c>
      <c r="O91" s="65" t="n">
        <v>0</v>
      </c>
      <c r="P91" s="64" t="s">
        <v>255</v>
      </c>
      <c r="Q91" s="88"/>
      <c r="R91" s="88"/>
      <c r="T91" s="166" t="s">
        <v>288</v>
      </c>
      <c r="U91" s="67"/>
      <c r="V91" s="67"/>
      <c r="W91" s="65" t="n">
        <v>1</v>
      </c>
      <c r="X91" s="65" t="n">
        <v>2</v>
      </c>
      <c r="Y91" s="64" t="s">
        <v>259</v>
      </c>
      <c r="Z91" s="88"/>
      <c r="AA91" s="88"/>
      <c r="CN91" s="32"/>
      <c r="CO91" s="32"/>
    </row>
    <row r="92" customFormat="false" ht="12.75" hidden="false" customHeight="false" outlineLevel="0" collapsed="false">
      <c r="B92" s="166" t="s">
        <v>289</v>
      </c>
      <c r="C92" s="67"/>
      <c r="D92" s="67"/>
      <c r="E92" s="65" t="n">
        <v>1</v>
      </c>
      <c r="F92" s="65" t="n">
        <v>1</v>
      </c>
      <c r="G92" s="64" t="s">
        <v>253</v>
      </c>
      <c r="H92" s="88"/>
      <c r="I92" s="88"/>
      <c r="K92" s="166" t="s">
        <v>290</v>
      </c>
      <c r="L92" s="67"/>
      <c r="M92" s="67"/>
      <c r="N92" s="65" t="n">
        <v>0</v>
      </c>
      <c r="O92" s="65" t="n">
        <v>0</v>
      </c>
      <c r="P92" s="64" t="s">
        <v>259</v>
      </c>
      <c r="Q92" s="88"/>
      <c r="R92" s="88"/>
      <c r="T92" s="166" t="s">
        <v>291</v>
      </c>
      <c r="U92" s="67"/>
      <c r="V92" s="67"/>
      <c r="W92" s="65" t="n">
        <v>0</v>
      </c>
      <c r="X92" s="65" t="n">
        <v>0</v>
      </c>
      <c r="Y92" s="64" t="s">
        <v>253</v>
      </c>
      <c r="Z92" s="88"/>
      <c r="AA92" s="88"/>
      <c r="CN92" s="32"/>
      <c r="CO92" s="32"/>
    </row>
    <row r="93" customFormat="false" ht="12.75" hidden="false" customHeight="false" outlineLevel="0" collapsed="false">
      <c r="B93" s="166" t="s">
        <v>292</v>
      </c>
      <c r="C93" s="67"/>
      <c r="D93" s="67"/>
      <c r="E93" s="65" t="n">
        <v>0</v>
      </c>
      <c r="F93" s="65" t="n">
        <v>0</v>
      </c>
      <c r="G93" s="64" t="s">
        <v>253</v>
      </c>
      <c r="H93" s="88"/>
      <c r="I93" s="88"/>
      <c r="K93" s="166" t="s">
        <v>293</v>
      </c>
      <c r="L93" s="67"/>
      <c r="M93" s="67"/>
      <c r="N93" s="65" t="n">
        <v>0</v>
      </c>
      <c r="O93" s="65" t="n">
        <v>0</v>
      </c>
      <c r="P93" s="64" t="s">
        <v>259</v>
      </c>
      <c r="Q93" s="88"/>
      <c r="R93" s="88"/>
      <c r="T93" s="166" t="s">
        <v>294</v>
      </c>
      <c r="U93" s="67"/>
      <c r="V93" s="67"/>
      <c r="W93" s="65" t="n">
        <v>0</v>
      </c>
      <c r="X93" s="65" t="n">
        <v>0</v>
      </c>
      <c r="Y93" s="64" t="s">
        <v>259</v>
      </c>
      <c r="Z93" s="88"/>
      <c r="AA93" s="88"/>
      <c r="CN93" s="32"/>
      <c r="CO93" s="32"/>
    </row>
    <row r="94" customFormat="false" ht="12.75" hidden="false" customHeight="false" outlineLevel="0" collapsed="false">
      <c r="B94" s="168" t="s">
        <v>295</v>
      </c>
      <c r="C94" s="169"/>
      <c r="D94" s="169"/>
      <c r="E94" s="65" t="n">
        <v>0</v>
      </c>
      <c r="F94" s="65" t="n">
        <v>1</v>
      </c>
      <c r="G94" s="64" t="s">
        <v>253</v>
      </c>
      <c r="H94" s="88"/>
      <c r="I94" s="88"/>
      <c r="K94" s="166" t="s">
        <v>296</v>
      </c>
      <c r="L94" s="67"/>
      <c r="M94" s="67"/>
      <c r="N94" s="65" t="n">
        <v>0</v>
      </c>
      <c r="O94" s="65" t="n">
        <v>0</v>
      </c>
      <c r="P94" s="64" t="s">
        <v>255</v>
      </c>
      <c r="Q94" s="88"/>
      <c r="R94" s="88"/>
      <c r="T94" s="166" t="s">
        <v>297</v>
      </c>
      <c r="U94" s="67"/>
      <c r="V94" s="67"/>
      <c r="W94" s="65" t="n">
        <v>1</v>
      </c>
      <c r="X94" s="65" t="n">
        <v>1</v>
      </c>
      <c r="Y94" s="64" t="s">
        <v>255</v>
      </c>
      <c r="Z94" s="88"/>
      <c r="AA94" s="88"/>
      <c r="CN94" s="32"/>
      <c r="CO94" s="32"/>
    </row>
    <row r="95" customFormat="false" ht="12.8" hidden="false" customHeight="false" outlineLevel="0" collapsed="false">
      <c r="B95" s="168" t="s">
        <v>298</v>
      </c>
      <c r="C95" s="169"/>
      <c r="D95" s="169"/>
      <c r="E95" s="65" t="n">
        <v>0</v>
      </c>
      <c r="F95" s="65" t="n">
        <v>1</v>
      </c>
      <c r="G95" s="64" t="s">
        <v>253</v>
      </c>
      <c r="H95" s="88"/>
      <c r="I95" s="88"/>
      <c r="K95" s="166" t="s">
        <v>299</v>
      </c>
      <c r="L95" s="67"/>
      <c r="M95" s="67"/>
      <c r="N95" s="65" t="n">
        <v>0</v>
      </c>
      <c r="O95" s="65" t="n">
        <v>0</v>
      </c>
      <c r="P95" s="64" t="s">
        <v>259</v>
      </c>
      <c r="Q95" s="88"/>
      <c r="R95" s="88"/>
      <c r="T95" s="166" t="s">
        <v>300</v>
      </c>
      <c r="U95" s="67"/>
      <c r="V95" s="67"/>
      <c r="W95" s="65" t="n">
        <v>0</v>
      </c>
      <c r="X95" s="65" t="n">
        <v>0</v>
      </c>
      <c r="Y95" s="64" t="s">
        <v>259</v>
      </c>
      <c r="Z95" s="88"/>
      <c r="AA95" s="88"/>
      <c r="CN95" s="32"/>
      <c r="CO95" s="32"/>
    </row>
    <row r="96" customFormat="false" ht="12.75" hidden="false" customHeight="false" outlineLevel="0" collapsed="false">
      <c r="B96" s="151" t="s">
        <v>301</v>
      </c>
      <c r="C96" s="69"/>
      <c r="D96" s="69"/>
      <c r="E96" s="65" t="n">
        <v>0</v>
      </c>
      <c r="F96" s="65" t="n">
        <v>0</v>
      </c>
      <c r="G96" s="65" t="s">
        <v>301</v>
      </c>
      <c r="H96" s="88"/>
      <c r="I96" s="88"/>
      <c r="K96" s="166" t="s">
        <v>302</v>
      </c>
      <c r="L96" s="67"/>
      <c r="M96" s="67"/>
      <c r="N96" s="65" t="n">
        <v>0</v>
      </c>
      <c r="O96" s="65" t="n">
        <v>0</v>
      </c>
      <c r="P96" s="64" t="s">
        <v>270</v>
      </c>
      <c r="Q96" s="88"/>
      <c r="R96" s="88"/>
      <c r="T96" s="166" t="s">
        <v>209</v>
      </c>
      <c r="U96" s="67"/>
      <c r="V96" s="67"/>
      <c r="W96" s="65" t="n">
        <v>0</v>
      </c>
      <c r="X96" s="65" t="n">
        <v>0</v>
      </c>
      <c r="Y96" s="64" t="s">
        <v>255</v>
      </c>
      <c r="Z96" s="88"/>
      <c r="AA96" s="88"/>
      <c r="CN96" s="32"/>
      <c r="CO96" s="32"/>
    </row>
    <row r="97" customFormat="false" ht="12.75" hidden="false" customHeight="false" outlineLevel="0" collapsed="false">
      <c r="B97" s="170" t="s">
        <v>301</v>
      </c>
      <c r="C97" s="164"/>
      <c r="D97" s="164"/>
      <c r="E97" s="137" t="n">
        <v>0</v>
      </c>
      <c r="F97" s="137" t="n">
        <v>0</v>
      </c>
      <c r="G97" s="137" t="s">
        <v>301</v>
      </c>
      <c r="H97" s="171"/>
      <c r="I97" s="171"/>
      <c r="K97" s="166" t="s">
        <v>303</v>
      </c>
      <c r="L97" s="67"/>
      <c r="M97" s="67"/>
      <c r="N97" s="65" t="n">
        <v>0</v>
      </c>
      <c r="O97" s="65" t="n">
        <v>0</v>
      </c>
      <c r="P97" s="64" t="s">
        <v>255</v>
      </c>
      <c r="Q97" s="88"/>
      <c r="R97" s="88"/>
      <c r="T97" s="166" t="s">
        <v>304</v>
      </c>
      <c r="U97" s="67"/>
      <c r="V97" s="67"/>
      <c r="W97" s="65" t="n">
        <v>0</v>
      </c>
      <c r="X97" s="65" t="n">
        <v>2</v>
      </c>
      <c r="Y97" s="64" t="s">
        <v>259</v>
      </c>
      <c r="Z97" s="88"/>
      <c r="AA97" s="88"/>
      <c r="CN97" s="32"/>
      <c r="CO97" s="32"/>
    </row>
    <row r="98" customFormat="false" ht="12.75" hidden="false" customHeight="false" outlineLevel="0" collapsed="false">
      <c r="E98" s="61" t="n">
        <f aca="false">SUM(E81:E97)</f>
        <v>2</v>
      </c>
      <c r="K98" s="166" t="s">
        <v>305</v>
      </c>
      <c r="L98" s="67"/>
      <c r="M98" s="67"/>
      <c r="N98" s="65" t="n">
        <v>0</v>
      </c>
      <c r="O98" s="65" t="n">
        <v>0</v>
      </c>
      <c r="P98" s="64" t="s">
        <v>255</v>
      </c>
      <c r="Q98" s="88"/>
      <c r="R98" s="88"/>
      <c r="T98" s="166" t="s">
        <v>306</v>
      </c>
      <c r="U98" s="67"/>
      <c r="V98" s="67"/>
      <c r="W98" s="65" t="n">
        <v>0</v>
      </c>
      <c r="X98" s="65" t="n">
        <v>0</v>
      </c>
      <c r="Y98" s="64" t="s">
        <v>259</v>
      </c>
      <c r="Z98" s="88"/>
      <c r="AA98" s="88"/>
      <c r="CN98" s="32"/>
      <c r="CO98" s="32"/>
    </row>
    <row r="99" customFormat="false" ht="12.75" hidden="false" customHeight="false" outlineLevel="0" collapsed="false">
      <c r="B99" s="50" t="s">
        <v>307</v>
      </c>
      <c r="C99" s="51"/>
      <c r="D99" s="51"/>
      <c r="E99" s="58" t="s">
        <v>195</v>
      </c>
      <c r="F99" s="58" t="s">
        <v>196</v>
      </c>
      <c r="G99" s="58" t="s">
        <v>248</v>
      </c>
      <c r="H99" s="59" t="s">
        <v>249</v>
      </c>
      <c r="I99" s="59"/>
      <c r="K99" s="166" t="s">
        <v>218</v>
      </c>
      <c r="L99" s="67"/>
      <c r="M99" s="67"/>
      <c r="N99" s="65" t="n">
        <v>0</v>
      </c>
      <c r="O99" s="65" t="n">
        <v>0</v>
      </c>
      <c r="P99" s="64" t="s">
        <v>255</v>
      </c>
      <c r="Q99" s="88"/>
      <c r="R99" s="88"/>
      <c r="T99" s="166" t="s">
        <v>308</v>
      </c>
      <c r="U99" s="67"/>
      <c r="V99" s="67"/>
      <c r="W99" s="65" t="n">
        <v>0</v>
      </c>
      <c r="X99" s="65" t="n">
        <v>0</v>
      </c>
      <c r="Y99" s="64" t="s">
        <v>255</v>
      </c>
      <c r="Z99" s="88"/>
      <c r="AA99" s="88"/>
      <c r="CN99" s="32"/>
      <c r="CO99" s="32"/>
    </row>
    <row r="100" customFormat="false" ht="12.75" hidden="false" customHeight="false" outlineLevel="0" collapsed="false">
      <c r="B100" s="166" t="s">
        <v>258</v>
      </c>
      <c r="C100" s="67"/>
      <c r="D100" s="67"/>
      <c r="E100" s="65" t="n">
        <v>0</v>
      </c>
      <c r="F100" s="65" t="n">
        <v>0</v>
      </c>
      <c r="G100" s="64" t="s">
        <v>259</v>
      </c>
      <c r="H100" s="88"/>
      <c r="I100" s="88"/>
      <c r="K100" s="166" t="s">
        <v>309</v>
      </c>
      <c r="L100" s="67"/>
      <c r="M100" s="67"/>
      <c r="N100" s="65" t="n">
        <v>2</v>
      </c>
      <c r="O100" s="65" t="n">
        <v>2</v>
      </c>
      <c r="P100" s="64" t="s">
        <v>259</v>
      </c>
      <c r="Q100" s="88"/>
      <c r="R100" s="88"/>
      <c r="T100" s="166" t="s">
        <v>310</v>
      </c>
      <c r="U100" s="67"/>
      <c r="V100" s="67"/>
      <c r="W100" s="65" t="n">
        <v>0</v>
      </c>
      <c r="X100" s="65" t="n">
        <v>1</v>
      </c>
      <c r="Y100" s="64" t="s">
        <v>259</v>
      </c>
      <c r="Z100" s="88"/>
      <c r="AA100" s="88"/>
      <c r="CN100" s="32"/>
      <c r="CO100" s="32"/>
    </row>
    <row r="101" customFormat="false" ht="12.75" hidden="false" customHeight="false" outlineLevel="0" collapsed="false">
      <c r="B101" s="166" t="s">
        <v>284</v>
      </c>
      <c r="C101" s="67"/>
      <c r="D101" s="67"/>
      <c r="E101" s="65" t="n">
        <v>0</v>
      </c>
      <c r="F101" s="65" t="n">
        <v>0</v>
      </c>
      <c r="G101" s="64" t="s">
        <v>259</v>
      </c>
      <c r="H101" s="88"/>
      <c r="I101" s="88"/>
      <c r="K101" s="166" t="s">
        <v>311</v>
      </c>
      <c r="L101" s="67"/>
      <c r="M101" s="67"/>
      <c r="N101" s="65" t="n">
        <v>0</v>
      </c>
      <c r="O101" s="65" t="n">
        <v>0</v>
      </c>
      <c r="P101" s="64" t="s">
        <v>253</v>
      </c>
      <c r="Q101" s="172"/>
      <c r="R101" s="172"/>
      <c r="T101" s="166" t="s">
        <v>312</v>
      </c>
      <c r="U101" s="67"/>
      <c r="V101" s="67"/>
      <c r="W101" s="65" t="n">
        <v>0</v>
      </c>
      <c r="X101" s="65" t="n">
        <v>0</v>
      </c>
      <c r="Y101" s="64" t="s">
        <v>259</v>
      </c>
      <c r="Z101" s="88"/>
      <c r="AA101" s="88"/>
      <c r="CN101" s="32"/>
      <c r="CO101" s="32"/>
    </row>
    <row r="102" customFormat="false" ht="12.75" hidden="false" customHeight="false" outlineLevel="0" collapsed="false">
      <c r="B102" s="166" t="s">
        <v>313</v>
      </c>
      <c r="C102" s="67"/>
      <c r="D102" s="67"/>
      <c r="E102" s="65" t="n">
        <v>1</v>
      </c>
      <c r="F102" s="65" t="n">
        <v>1</v>
      </c>
      <c r="G102" s="64" t="s">
        <v>255</v>
      </c>
      <c r="H102" s="88"/>
      <c r="I102" s="88"/>
      <c r="K102" s="173" t="s">
        <v>314</v>
      </c>
      <c r="L102" s="174"/>
      <c r="M102" s="174"/>
      <c r="N102" s="65" t="n">
        <v>0</v>
      </c>
      <c r="O102" s="65" t="n">
        <v>0</v>
      </c>
      <c r="P102" s="175" t="s">
        <v>253</v>
      </c>
      <c r="Q102" s="88"/>
      <c r="R102" s="88"/>
      <c r="T102" s="166" t="s">
        <v>315</v>
      </c>
      <c r="U102" s="67"/>
      <c r="V102" s="67"/>
      <c r="W102" s="65" t="n">
        <v>0</v>
      </c>
      <c r="X102" s="65" t="n">
        <v>0</v>
      </c>
      <c r="Y102" s="64" t="s">
        <v>259</v>
      </c>
      <c r="Z102" s="88"/>
      <c r="AA102" s="88"/>
      <c r="CN102" s="32"/>
      <c r="CO102" s="32"/>
    </row>
    <row r="103" customFormat="false" ht="12.75" hidden="false" customHeight="false" outlineLevel="0" collapsed="false">
      <c r="B103" s="166" t="s">
        <v>316</v>
      </c>
      <c r="C103" s="67"/>
      <c r="D103" s="67"/>
      <c r="E103" s="65" t="n">
        <v>0</v>
      </c>
      <c r="F103" s="65" t="n">
        <v>0</v>
      </c>
      <c r="G103" s="64" t="s">
        <v>259</v>
      </c>
      <c r="H103" s="88"/>
      <c r="I103" s="88"/>
      <c r="K103" s="166" t="s">
        <v>317</v>
      </c>
      <c r="L103" s="67"/>
      <c r="M103" s="67"/>
      <c r="N103" s="65" t="n">
        <v>0</v>
      </c>
      <c r="O103" s="65" t="n">
        <v>0</v>
      </c>
      <c r="P103" s="64" t="s">
        <v>262</v>
      </c>
      <c r="Q103" s="88"/>
      <c r="R103" s="88"/>
      <c r="T103" s="166" t="s">
        <v>143</v>
      </c>
      <c r="U103" s="67"/>
      <c r="V103" s="67"/>
      <c r="W103" s="65" t="n">
        <v>0</v>
      </c>
      <c r="X103" s="65" t="n">
        <v>0</v>
      </c>
      <c r="Y103" s="64" t="s">
        <v>253</v>
      </c>
      <c r="Z103" s="88"/>
      <c r="AA103" s="88"/>
      <c r="CN103" s="32"/>
      <c r="CO103" s="32"/>
    </row>
    <row r="104" customFormat="false" ht="12.75" hidden="false" customHeight="false" outlineLevel="0" collapsed="false">
      <c r="B104" s="166" t="s">
        <v>318</v>
      </c>
      <c r="C104" s="67"/>
      <c r="D104" s="67"/>
      <c r="E104" s="65" t="n">
        <v>0</v>
      </c>
      <c r="F104" s="65" t="n">
        <v>0</v>
      </c>
      <c r="G104" s="64" t="s">
        <v>259</v>
      </c>
      <c r="H104" s="88"/>
      <c r="I104" s="88"/>
      <c r="K104" s="166" t="s">
        <v>208</v>
      </c>
      <c r="L104" s="67"/>
      <c r="M104" s="67"/>
      <c r="N104" s="65" t="n">
        <v>0</v>
      </c>
      <c r="O104" s="65" t="n">
        <v>0</v>
      </c>
      <c r="P104" s="64" t="s">
        <v>253</v>
      </c>
      <c r="Q104" s="88"/>
      <c r="R104" s="88"/>
      <c r="T104" s="166" t="s">
        <v>319</v>
      </c>
      <c r="U104" s="67"/>
      <c r="V104" s="67"/>
      <c r="W104" s="65" t="n">
        <v>0</v>
      </c>
      <c r="X104" s="65" t="n">
        <v>0</v>
      </c>
      <c r="Y104" s="64" t="s">
        <v>259</v>
      </c>
      <c r="Z104" s="88"/>
      <c r="AA104" s="88"/>
      <c r="CN104" s="32"/>
      <c r="CO104" s="32"/>
    </row>
    <row r="105" customFormat="false" ht="12.75" hidden="false" customHeight="false" outlineLevel="0" collapsed="false">
      <c r="B105" s="166" t="s">
        <v>279</v>
      </c>
      <c r="C105" s="67"/>
      <c r="D105" s="67"/>
      <c r="E105" s="65" t="n">
        <v>0</v>
      </c>
      <c r="F105" s="65" t="n">
        <v>0</v>
      </c>
      <c r="G105" s="64" t="s">
        <v>259</v>
      </c>
      <c r="H105" s="88"/>
      <c r="I105" s="88"/>
      <c r="K105" s="166" t="s">
        <v>320</v>
      </c>
      <c r="L105" s="67"/>
      <c r="M105" s="67"/>
      <c r="N105" s="65" t="n">
        <v>0</v>
      </c>
      <c r="O105" s="65" t="n">
        <v>0</v>
      </c>
      <c r="P105" s="64" t="s">
        <v>253</v>
      </c>
      <c r="Q105" s="88"/>
      <c r="R105" s="88"/>
      <c r="T105" s="166" t="s">
        <v>216</v>
      </c>
      <c r="U105" s="67"/>
      <c r="V105" s="67"/>
      <c r="W105" s="65" t="n">
        <v>0</v>
      </c>
      <c r="X105" s="65" t="n">
        <v>0</v>
      </c>
      <c r="Y105" s="64" t="s">
        <v>255</v>
      </c>
      <c r="Z105" s="88"/>
      <c r="AA105" s="88"/>
      <c r="CN105" s="32"/>
      <c r="CO105" s="32"/>
    </row>
    <row r="106" customFormat="false" ht="12.75" hidden="false" customHeight="false" outlineLevel="0" collapsed="false">
      <c r="B106" s="166" t="s">
        <v>321</v>
      </c>
      <c r="C106" s="67"/>
      <c r="D106" s="67"/>
      <c r="E106" s="65" t="n">
        <v>0</v>
      </c>
      <c r="F106" s="65" t="n">
        <v>0</v>
      </c>
      <c r="G106" s="64" t="s">
        <v>259</v>
      </c>
      <c r="H106" s="88"/>
      <c r="I106" s="88"/>
      <c r="K106" s="166" t="s">
        <v>322</v>
      </c>
      <c r="L106" s="67"/>
      <c r="M106" s="67"/>
      <c r="N106" s="65" t="n">
        <v>0</v>
      </c>
      <c r="O106" s="65" t="n">
        <v>0</v>
      </c>
      <c r="P106" s="64" t="s">
        <v>259</v>
      </c>
      <c r="Q106" s="88"/>
      <c r="R106" s="88"/>
      <c r="T106" s="166" t="s">
        <v>323</v>
      </c>
      <c r="U106" s="67"/>
      <c r="V106" s="67"/>
      <c r="W106" s="65" t="n">
        <v>0</v>
      </c>
      <c r="X106" s="65" t="n">
        <v>0</v>
      </c>
      <c r="Y106" s="64" t="s">
        <v>255</v>
      </c>
      <c r="Z106" s="88"/>
      <c r="AA106" s="88"/>
      <c r="CN106" s="32"/>
      <c r="CO106" s="32"/>
    </row>
    <row r="107" customFormat="false" ht="12.75" hidden="false" customHeight="false" outlineLevel="0" collapsed="false">
      <c r="B107" s="166" t="s">
        <v>324</v>
      </c>
      <c r="C107" s="67"/>
      <c r="D107" s="67"/>
      <c r="E107" s="65" t="n">
        <v>0</v>
      </c>
      <c r="F107" s="65" t="n">
        <v>0</v>
      </c>
      <c r="G107" s="64" t="s">
        <v>259</v>
      </c>
      <c r="H107" s="88"/>
      <c r="I107" s="88"/>
      <c r="K107" s="166"/>
      <c r="L107" s="67"/>
      <c r="M107" s="67"/>
      <c r="N107" s="65"/>
      <c r="O107" s="65"/>
      <c r="P107" s="64"/>
      <c r="Q107" s="88"/>
      <c r="R107" s="88"/>
      <c r="T107" s="166" t="s">
        <v>325</v>
      </c>
      <c r="U107" s="67"/>
      <c r="V107" s="67"/>
      <c r="W107" s="65" t="n">
        <v>0</v>
      </c>
      <c r="X107" s="65" t="n">
        <v>0</v>
      </c>
      <c r="Y107" s="64" t="s">
        <v>253</v>
      </c>
      <c r="Z107" s="88"/>
      <c r="AA107" s="88"/>
      <c r="CN107" s="32"/>
      <c r="CO107" s="32"/>
    </row>
    <row r="108" customFormat="false" ht="12.75" hidden="false" customHeight="false" outlineLevel="0" collapsed="false">
      <c r="B108" s="166" t="s">
        <v>326</v>
      </c>
      <c r="C108" s="67"/>
      <c r="D108" s="67"/>
      <c r="E108" s="65" t="n">
        <v>0</v>
      </c>
      <c r="F108" s="65" t="n">
        <v>0</v>
      </c>
      <c r="G108" s="64" t="s">
        <v>259</v>
      </c>
      <c r="H108" s="88"/>
      <c r="I108" s="88"/>
      <c r="K108" s="50" t="s">
        <v>307</v>
      </c>
      <c r="L108" s="51"/>
      <c r="M108" s="51"/>
      <c r="N108" s="58"/>
      <c r="O108" s="58"/>
      <c r="P108" s="58"/>
      <c r="Q108" s="59"/>
      <c r="R108" s="59"/>
      <c r="T108" s="166" t="s">
        <v>205</v>
      </c>
      <c r="U108" s="67"/>
      <c r="V108" s="67"/>
      <c r="W108" s="65" t="n">
        <v>0</v>
      </c>
      <c r="X108" s="65" t="n">
        <v>0</v>
      </c>
      <c r="Y108" s="64" t="s">
        <v>255</v>
      </c>
      <c r="Z108" s="88"/>
      <c r="AA108" s="88"/>
      <c r="CN108" s="32"/>
      <c r="CO108" s="32"/>
    </row>
    <row r="109" customFormat="false" ht="12.75" hidden="false" customHeight="false" outlineLevel="0" collapsed="false">
      <c r="B109" s="151"/>
      <c r="C109" s="69"/>
      <c r="D109" s="69"/>
      <c r="E109" s="65" t="n">
        <v>0</v>
      </c>
      <c r="F109" s="65" t="n">
        <v>0</v>
      </c>
      <c r="G109" s="65"/>
      <c r="H109" s="88"/>
      <c r="I109" s="88"/>
      <c r="K109" s="166" t="s">
        <v>327</v>
      </c>
      <c r="L109" s="166"/>
      <c r="M109" s="166"/>
      <c r="N109" s="65" t="n">
        <v>1</v>
      </c>
      <c r="O109" s="65" t="n">
        <v>2</v>
      </c>
      <c r="P109" s="64" t="s">
        <v>253</v>
      </c>
      <c r="Q109" s="88"/>
      <c r="R109" s="88"/>
      <c r="T109" s="166" t="s">
        <v>328</v>
      </c>
      <c r="U109" s="67"/>
      <c r="V109" s="67"/>
      <c r="W109" s="65" t="n">
        <v>1</v>
      </c>
      <c r="X109" s="65" t="n">
        <v>1</v>
      </c>
      <c r="Y109" s="64" t="s">
        <v>253</v>
      </c>
      <c r="Z109" s="88"/>
      <c r="AA109" s="88"/>
      <c r="CN109" s="32"/>
      <c r="CO109" s="32"/>
    </row>
    <row r="110" customFormat="false" ht="12.75" hidden="false" customHeight="false" outlineLevel="0" collapsed="false">
      <c r="B110" s="151" t="s">
        <v>301</v>
      </c>
      <c r="C110" s="69"/>
      <c r="D110" s="69"/>
      <c r="E110" s="65" t="n">
        <v>0</v>
      </c>
      <c r="F110" s="65" t="n">
        <v>0</v>
      </c>
      <c r="G110" s="65" t="s">
        <v>301</v>
      </c>
      <c r="H110" s="88"/>
      <c r="I110" s="88"/>
      <c r="K110" s="166" t="s">
        <v>329</v>
      </c>
      <c r="L110" s="166"/>
      <c r="M110" s="166"/>
      <c r="N110" s="65" t="n">
        <v>2</v>
      </c>
      <c r="O110" s="65" t="n">
        <v>2</v>
      </c>
      <c r="P110" s="64" t="s">
        <v>253</v>
      </c>
      <c r="Q110" s="88"/>
      <c r="R110" s="88"/>
      <c r="T110" s="166" t="s">
        <v>330</v>
      </c>
      <c r="U110" s="67"/>
      <c r="V110" s="67"/>
      <c r="W110" s="65" t="n">
        <v>0</v>
      </c>
      <c r="X110" s="65" t="n">
        <v>0</v>
      </c>
      <c r="Y110" s="64" t="s">
        <v>255</v>
      </c>
      <c r="Z110" s="88"/>
      <c r="AA110" s="88"/>
      <c r="CN110" s="32"/>
      <c r="CO110" s="32"/>
    </row>
    <row r="111" customFormat="false" ht="12.75" hidden="false" customHeight="false" outlineLevel="0" collapsed="false">
      <c r="B111" s="170" t="s">
        <v>301</v>
      </c>
      <c r="C111" s="164"/>
      <c r="D111" s="164"/>
      <c r="E111" s="137" t="n">
        <v>0</v>
      </c>
      <c r="F111" s="137" t="n">
        <v>0</v>
      </c>
      <c r="G111" s="137" t="s">
        <v>301</v>
      </c>
      <c r="H111" s="171"/>
      <c r="I111" s="171"/>
      <c r="K111" s="170" t="s">
        <v>301</v>
      </c>
      <c r="L111" s="164"/>
      <c r="M111" s="164"/>
      <c r="N111" s="137" t="n">
        <v>0</v>
      </c>
      <c r="O111" s="137" t="n">
        <v>0</v>
      </c>
      <c r="P111" s="137" t="s">
        <v>301</v>
      </c>
      <c r="Q111" s="171"/>
      <c r="R111" s="171"/>
      <c r="T111" s="166" t="s">
        <v>331</v>
      </c>
      <c r="U111" s="67"/>
      <c r="V111" s="67"/>
      <c r="W111" s="65" t="n">
        <v>0</v>
      </c>
      <c r="X111" s="65" t="n">
        <v>0</v>
      </c>
      <c r="Y111" s="64" t="s">
        <v>255</v>
      </c>
      <c r="Z111" s="88"/>
      <c r="AA111" s="88"/>
      <c r="CN111" s="32"/>
      <c r="CO111" s="32"/>
    </row>
    <row r="112" customFormat="false" ht="12.75" hidden="false" customHeight="false" outlineLevel="0" collapsed="false">
      <c r="E112" s="61" t="n">
        <f aca="false">SUM(E100:E111)</f>
        <v>1</v>
      </c>
      <c r="F112" s="61"/>
      <c r="G112" s="61"/>
      <c r="H112" s="61"/>
      <c r="I112" s="61"/>
      <c r="J112" s="61"/>
      <c r="K112" s="61"/>
      <c r="L112" s="61"/>
      <c r="M112" s="61" t="n">
        <f aca="false">SUM(N109:N110)</f>
        <v>3</v>
      </c>
      <c r="N112" s="61" t="n">
        <f aca="false">SUM(N81:N107)</f>
        <v>2</v>
      </c>
      <c r="O112" s="61"/>
      <c r="P112" s="61" t="n">
        <f aca="false">SUM(N112:N113)</f>
        <v>8</v>
      </c>
      <c r="Q112" s="61"/>
      <c r="T112" s="166" t="s">
        <v>332</v>
      </c>
      <c r="U112" s="67"/>
      <c r="V112" s="67"/>
      <c r="W112" s="65" t="n">
        <v>0</v>
      </c>
      <c r="X112" s="65" t="n">
        <v>0</v>
      </c>
      <c r="Y112" s="64"/>
      <c r="Z112" s="88"/>
      <c r="AA112" s="88"/>
      <c r="CN112" s="32"/>
      <c r="CO112" s="32"/>
    </row>
    <row r="113" customFormat="false" ht="12.75" hidden="false" customHeight="false" outlineLevel="0" collapsed="false">
      <c r="E113" s="61"/>
      <c r="F113" s="61"/>
      <c r="G113" s="61"/>
      <c r="H113" s="61"/>
      <c r="I113" s="61"/>
      <c r="J113" s="61"/>
      <c r="K113" s="61"/>
      <c r="L113" s="61"/>
      <c r="M113" s="61"/>
      <c r="N113" s="61" t="n">
        <f aca="false">SUM(W81:W187)</f>
        <v>6</v>
      </c>
      <c r="O113" s="61"/>
      <c r="P113" s="61"/>
      <c r="Q113" s="61"/>
      <c r="T113" s="166" t="s">
        <v>333</v>
      </c>
      <c r="U113" s="67"/>
      <c r="V113" s="67"/>
      <c r="W113" s="65" t="n">
        <v>0</v>
      </c>
      <c r="X113" s="65" t="n">
        <v>0</v>
      </c>
      <c r="Y113" s="64" t="s">
        <v>253</v>
      </c>
      <c r="Z113" s="88"/>
      <c r="AA113" s="88"/>
      <c r="CN113" s="32"/>
      <c r="CO113" s="32"/>
    </row>
    <row r="114" customFormat="false" ht="12.75" hidden="false" customHeight="false" outlineLevel="0" collapsed="false">
      <c r="B114" s="50" t="s">
        <v>334</v>
      </c>
      <c r="C114" s="50"/>
      <c r="D114" s="50"/>
      <c r="E114" s="58" t="s">
        <v>335</v>
      </c>
      <c r="F114" s="58" t="s">
        <v>155</v>
      </c>
      <c r="G114" s="58" t="s">
        <v>336</v>
      </c>
      <c r="H114" s="58" t="s">
        <v>337</v>
      </c>
      <c r="I114" s="58" t="s">
        <v>338</v>
      </c>
      <c r="J114" s="58"/>
      <c r="K114" s="58" t="s">
        <v>339</v>
      </c>
      <c r="L114" s="58" t="s">
        <v>340</v>
      </c>
      <c r="M114" s="58" t="s">
        <v>181</v>
      </c>
      <c r="N114" s="58" t="s">
        <v>341</v>
      </c>
      <c r="O114" s="58" t="s">
        <v>342</v>
      </c>
      <c r="P114" s="58"/>
      <c r="Q114" s="59" t="s">
        <v>343</v>
      </c>
      <c r="R114" s="59"/>
      <c r="T114" s="166" t="s">
        <v>201</v>
      </c>
      <c r="U114" s="67"/>
      <c r="V114" s="67"/>
      <c r="W114" s="65" t="n">
        <v>0</v>
      </c>
      <c r="X114" s="65" t="n">
        <v>0</v>
      </c>
      <c r="Y114" s="64" t="s">
        <v>255</v>
      </c>
      <c r="Z114" s="88"/>
      <c r="AA114" s="88"/>
      <c r="CN114" s="32"/>
      <c r="CO114" s="32"/>
    </row>
    <row r="115" customFormat="false" ht="12.75" hidden="false" customHeight="false" outlineLevel="0" collapsed="false">
      <c r="B115" s="166" t="s">
        <v>344</v>
      </c>
      <c r="C115" s="67"/>
      <c r="D115" s="67"/>
      <c r="E115" s="65"/>
      <c r="F115" s="64" t="n">
        <v>30</v>
      </c>
      <c r="G115" s="64" t="n">
        <v>2</v>
      </c>
      <c r="H115" s="65"/>
      <c r="I115" s="64" t="s">
        <v>345</v>
      </c>
      <c r="J115" s="64"/>
      <c r="K115" s="64" t="s">
        <v>346</v>
      </c>
      <c r="L115" s="64" t="n">
        <v>3</v>
      </c>
      <c r="M115" s="64" t="n">
        <v>3</v>
      </c>
      <c r="N115" s="64" t="n">
        <f aca="false">G115+IF(G115&gt;0,StrStep,0)+H115</f>
        <v>8</v>
      </c>
      <c r="O115" s="64" t="str">
        <f aca="true">OFFSET(ActionDice,N115,0)</f>
        <v>2d6</v>
      </c>
      <c r="P115" s="64"/>
      <c r="Q115" s="66" t="str">
        <f aca="false">IF(L115&gt;IF(I115="- / - / -",RaceWeaponMissile,RaceWeapon2H),"Too large",IF(L115&gt;RaceWeapon1H,"Two-handed",IF(L115&lt;RaceWeaponMin,"Too small","-")))</f>
        <v>-</v>
      </c>
      <c r="R115" s="66"/>
      <c r="T115" s="166" t="s">
        <v>347</v>
      </c>
      <c r="U115" s="67"/>
      <c r="V115" s="67"/>
      <c r="W115" s="65" t="n">
        <v>0</v>
      </c>
      <c r="X115" s="65" t="n">
        <v>0</v>
      </c>
      <c r="Y115" s="64" t="s">
        <v>259</v>
      </c>
      <c r="Z115" s="65"/>
      <c r="AA115" s="88"/>
      <c r="CN115" s="32"/>
      <c r="CO115" s="32"/>
    </row>
    <row r="116" customFormat="false" ht="12.75" hidden="false" customHeight="false" outlineLevel="0" collapsed="false">
      <c r="B116" s="176" t="s">
        <v>348</v>
      </c>
      <c r="C116" s="177"/>
      <c r="D116" s="177"/>
      <c r="E116" s="65"/>
      <c r="F116" s="64" t="n">
        <v>35</v>
      </c>
      <c r="G116" s="64" t="n">
        <v>7</v>
      </c>
      <c r="H116" s="65"/>
      <c r="I116" s="64" t="s">
        <v>345</v>
      </c>
      <c r="J116" s="64"/>
      <c r="K116" s="64" t="s">
        <v>349</v>
      </c>
      <c r="L116" s="64" t="n">
        <v>5</v>
      </c>
      <c r="M116" s="64" t="n">
        <v>6</v>
      </c>
      <c r="N116" s="64" t="n">
        <f aca="false">G116+IF(G116&gt;0,StrStep,0)+H116</f>
        <v>13</v>
      </c>
      <c r="O116" s="64" t="str">
        <f aca="true">OFFSET(ActionDice,N116,0)</f>
        <v>d12+d10</v>
      </c>
      <c r="P116" s="64"/>
      <c r="Q116" s="66" t="str">
        <f aca="false">IF(L116&gt;IF(I116="- / - / -",RaceWeaponMissile,RaceWeapon2H),"Too large",IF(L116&gt;RaceWeapon1H,"Two-handed",IF(L116&lt;RaceWeaponMin,"Too small","-")))</f>
        <v>Two-handed</v>
      </c>
      <c r="R116" s="66"/>
      <c r="T116" s="166" t="s">
        <v>350</v>
      </c>
      <c r="U116" s="67"/>
      <c r="V116" s="67"/>
      <c r="W116" s="65" t="n">
        <v>0</v>
      </c>
      <c r="X116" s="65" t="n">
        <v>0</v>
      </c>
      <c r="Y116" s="64" t="s">
        <v>253</v>
      </c>
      <c r="Z116" s="88"/>
      <c r="AA116" s="88"/>
      <c r="CN116" s="32"/>
      <c r="CO116" s="32"/>
    </row>
    <row r="117" customFormat="false" ht="12.75" hidden="false" customHeight="false" outlineLevel="0" collapsed="false">
      <c r="B117" s="176" t="s">
        <v>351</v>
      </c>
      <c r="C117" s="177"/>
      <c r="D117" s="177"/>
      <c r="E117" s="65"/>
      <c r="F117" s="64" t="n">
        <v>25</v>
      </c>
      <c r="G117" s="64" t="n">
        <v>5</v>
      </c>
      <c r="H117" s="65"/>
      <c r="I117" s="64" t="s">
        <v>345</v>
      </c>
      <c r="J117" s="64"/>
      <c r="K117" s="64" t="s">
        <v>352</v>
      </c>
      <c r="L117" s="64" t="n">
        <v>3</v>
      </c>
      <c r="M117" s="64" t="n">
        <v>4</v>
      </c>
      <c r="N117" s="64" t="n">
        <f aca="false">G117+IF(G117&gt;0,StrStep,0)+H117</f>
        <v>11</v>
      </c>
      <c r="O117" s="64" t="str">
        <f aca="true">OFFSET(ActionDice,N117,0)</f>
        <v>d10 + d8</v>
      </c>
      <c r="P117" s="64"/>
      <c r="Q117" s="66" t="str">
        <f aca="false">IF(L117&gt;IF(I117="- / - / -",RaceWeaponMissile,RaceWeapon2H),"Too large",IF(L117&gt;RaceWeapon1H,"Two-handed",IF(L117&lt;RaceWeaponMin,"Too small","-")))</f>
        <v>-</v>
      </c>
      <c r="R117" s="66"/>
      <c r="T117" s="166" t="s">
        <v>353</v>
      </c>
      <c r="U117" s="67"/>
      <c r="V117" s="67"/>
      <c r="W117" s="65" t="n">
        <v>0</v>
      </c>
      <c r="X117" s="65" t="n">
        <v>0</v>
      </c>
      <c r="Y117" s="64" t="s">
        <v>255</v>
      </c>
      <c r="Z117" s="88"/>
      <c r="AA117" s="88"/>
      <c r="CN117" s="32"/>
      <c r="CO117" s="32"/>
    </row>
    <row r="118" customFormat="false" ht="12.75" hidden="false" customHeight="false" outlineLevel="0" collapsed="false">
      <c r="B118" s="176" t="s">
        <v>354</v>
      </c>
      <c r="C118" s="177"/>
      <c r="D118" s="177"/>
      <c r="E118" s="65"/>
      <c r="F118" s="64" t="n">
        <v>5</v>
      </c>
      <c r="G118" s="64" t="n">
        <v>0</v>
      </c>
      <c r="H118" s="65"/>
      <c r="I118" s="64" t="s">
        <v>345</v>
      </c>
      <c r="J118" s="64"/>
      <c r="K118" s="64" t="s">
        <v>355</v>
      </c>
      <c r="L118" s="64" t="n">
        <v>2</v>
      </c>
      <c r="M118" s="64" t="n">
        <v>2</v>
      </c>
      <c r="N118" s="64" t="n">
        <f aca="false">G118+IF(G118&gt;0,StrStep,0)+H118</f>
        <v>0</v>
      </c>
      <c r="O118" s="64" t="str">
        <f aca="true">OFFSET(ActionDice,N118,0)</f>
        <v>-</v>
      </c>
      <c r="P118" s="64"/>
      <c r="Q118" s="66" t="str">
        <f aca="false">IF(L118&gt;IF(I118="- / - / -",RaceWeaponMissile,RaceWeapon2H),"Too large",IF(L118&gt;RaceWeapon1H,"Two-handed",IF(L118&lt;RaceWeaponMin,"Too small","-")))</f>
        <v>-</v>
      </c>
      <c r="R118" s="66"/>
      <c r="T118" s="166" t="s">
        <v>356</v>
      </c>
      <c r="U118" s="67"/>
      <c r="V118" s="67"/>
      <c r="W118" s="65" t="n">
        <v>0</v>
      </c>
      <c r="X118" s="65" t="n">
        <v>0</v>
      </c>
      <c r="Y118" s="64" t="s">
        <v>253</v>
      </c>
      <c r="Z118" s="88"/>
      <c r="AA118" s="88"/>
      <c r="CN118" s="32"/>
      <c r="CO118" s="32"/>
    </row>
    <row r="119" customFormat="false" ht="12.75" hidden="false" customHeight="false" outlineLevel="0" collapsed="false">
      <c r="B119" s="176" t="s">
        <v>357</v>
      </c>
      <c r="C119" s="177"/>
      <c r="D119" s="177"/>
      <c r="E119" s="65"/>
      <c r="F119" s="64" t="n">
        <v>20</v>
      </c>
      <c r="G119" s="64" t="n">
        <v>5</v>
      </c>
      <c r="H119" s="65"/>
      <c r="I119" s="64" t="s">
        <v>345</v>
      </c>
      <c r="J119" s="64"/>
      <c r="K119" s="64" t="s">
        <v>358</v>
      </c>
      <c r="L119" s="64" t="n">
        <v>3</v>
      </c>
      <c r="M119" s="64" t="n">
        <v>5</v>
      </c>
      <c r="N119" s="64" t="n">
        <f aca="false">G119+IF(G119&gt;0,StrStep,0)+H119</f>
        <v>11</v>
      </c>
      <c r="O119" s="64" t="str">
        <f aca="true">OFFSET(ActionDice,N119,0)</f>
        <v>d10 + d8</v>
      </c>
      <c r="P119" s="64"/>
      <c r="Q119" s="66" t="str">
        <f aca="false">IF(L119&gt;IF(I119="- / - / -",RaceWeaponMissile,RaceWeapon2H),"Too large",IF(L119&gt;RaceWeapon1H,"Two-handed",IF(L119&lt;RaceWeaponMin,"Too small","-")))</f>
        <v>-</v>
      </c>
      <c r="R119" s="66"/>
      <c r="T119" s="166" t="s">
        <v>359</v>
      </c>
      <c r="U119" s="67"/>
      <c r="V119" s="67"/>
      <c r="W119" s="65" t="n">
        <v>0</v>
      </c>
      <c r="X119" s="65" t="n">
        <v>0</v>
      </c>
      <c r="Y119" s="64" t="s">
        <v>253</v>
      </c>
      <c r="Z119" s="88"/>
      <c r="AA119" s="88"/>
      <c r="CN119" s="32"/>
      <c r="CO119" s="32"/>
    </row>
    <row r="120" customFormat="false" ht="12.75" hidden="false" customHeight="false" outlineLevel="0" collapsed="false">
      <c r="B120" s="176" t="s">
        <v>360</v>
      </c>
      <c r="C120" s="177"/>
      <c r="D120" s="177"/>
      <c r="E120" s="65"/>
      <c r="F120" s="64" t="n">
        <v>45</v>
      </c>
      <c r="G120" s="64" t="n">
        <v>4</v>
      </c>
      <c r="H120" s="65"/>
      <c r="I120" s="64" t="s">
        <v>345</v>
      </c>
      <c r="J120" s="64"/>
      <c r="K120" s="64" t="s">
        <v>361</v>
      </c>
      <c r="L120" s="64" t="n">
        <v>2</v>
      </c>
      <c r="M120" s="64" t="n">
        <v>3</v>
      </c>
      <c r="N120" s="64" t="n">
        <f aca="false">G120+IF(G120&gt;0,StrStep,0)+H120</f>
        <v>10</v>
      </c>
      <c r="O120" s="64" t="str">
        <f aca="true">OFFSET(ActionDice,N120,0)</f>
        <v>2d8</v>
      </c>
      <c r="P120" s="64"/>
      <c r="Q120" s="66" t="str">
        <f aca="false">IF(L120&gt;IF(I120="- / - / -",RaceWeaponMissile,RaceWeapon2H),"Too large",IF(L120&gt;RaceWeapon1H,"Two-handed",IF(L120&lt;RaceWeaponMin,"Too small","-")))</f>
        <v>-</v>
      </c>
      <c r="R120" s="66"/>
      <c r="T120" s="166" t="s">
        <v>362</v>
      </c>
      <c r="U120" s="67"/>
      <c r="V120" s="67"/>
      <c r="W120" s="65" t="n">
        <v>0</v>
      </c>
      <c r="X120" s="65" t="n">
        <v>0</v>
      </c>
      <c r="Y120" s="64" t="s">
        <v>253</v>
      </c>
      <c r="Z120" s="88"/>
      <c r="AA120" s="88"/>
      <c r="CN120" s="32"/>
      <c r="CO120" s="32"/>
    </row>
    <row r="121" customFormat="false" ht="12.75" hidden="false" customHeight="false" outlineLevel="0" collapsed="false">
      <c r="B121" s="176" t="s">
        <v>363</v>
      </c>
      <c r="C121" s="177"/>
      <c r="D121" s="177"/>
      <c r="E121" s="65"/>
      <c r="F121" s="64" t="n">
        <v>75</v>
      </c>
      <c r="G121" s="64" t="n">
        <v>5</v>
      </c>
      <c r="H121" s="65"/>
      <c r="I121" s="64" t="s">
        <v>345</v>
      </c>
      <c r="J121" s="64"/>
      <c r="K121" s="64" t="s">
        <v>349</v>
      </c>
      <c r="L121" s="64" t="n">
        <v>3</v>
      </c>
      <c r="M121" s="64" t="n">
        <v>4</v>
      </c>
      <c r="N121" s="64" t="n">
        <f aca="false">G121+IF(G121&gt;0,StrStep,0)+H121</f>
        <v>11</v>
      </c>
      <c r="O121" s="64" t="str">
        <f aca="true">OFFSET(ActionDice,N121,0)</f>
        <v>d10 + d8</v>
      </c>
      <c r="P121" s="64"/>
      <c r="Q121" s="66" t="str">
        <f aca="false">IF(L121&gt;IF(I121="- / - / -",RaceWeaponMissile,RaceWeapon2H),"Too large",IF(L121&gt;RaceWeapon1H,"Two-handed",IF(L121&lt;RaceWeaponMin,"Too small","-")))</f>
        <v>-</v>
      </c>
      <c r="R121" s="66"/>
      <c r="T121" s="166" t="s">
        <v>364</v>
      </c>
      <c r="U121" s="67"/>
      <c r="V121" s="67"/>
      <c r="W121" s="65" t="n">
        <v>0</v>
      </c>
      <c r="X121" s="65" t="n">
        <v>0</v>
      </c>
      <c r="Y121" s="64" t="s">
        <v>253</v>
      </c>
      <c r="Z121" s="88"/>
      <c r="AA121" s="88"/>
      <c r="CN121" s="32"/>
      <c r="CO121" s="32"/>
    </row>
    <row r="122" customFormat="false" ht="12.75" hidden="false" customHeight="false" outlineLevel="0" collapsed="false">
      <c r="B122" s="176" t="s">
        <v>365</v>
      </c>
      <c r="C122" s="177"/>
      <c r="D122" s="177"/>
      <c r="E122" s="65"/>
      <c r="F122" s="64" t="n">
        <v>15</v>
      </c>
      <c r="G122" s="64" t="n">
        <v>2</v>
      </c>
      <c r="H122" s="65"/>
      <c r="I122" s="64" t="s">
        <v>345</v>
      </c>
      <c r="J122" s="64"/>
      <c r="K122" s="64" t="s">
        <v>366</v>
      </c>
      <c r="L122" s="64" t="n">
        <v>1</v>
      </c>
      <c r="M122" s="64" t="n">
        <v>2</v>
      </c>
      <c r="N122" s="64" t="n">
        <f aca="false">G122+IF(G122&gt;0,StrStep,0)+H122</f>
        <v>8</v>
      </c>
      <c r="O122" s="64" t="str">
        <f aca="true">OFFSET(ActionDice,N122,0)</f>
        <v>2d6</v>
      </c>
      <c r="P122" s="64"/>
      <c r="Q122" s="66" t="str">
        <f aca="false">IF(L122&gt;IF(I122="- / - / -",RaceWeaponMissile,RaceWeapon2H),"Too large",IF(L122&gt;RaceWeapon1H,"Two-handed",IF(L122&lt;RaceWeaponMin,"Too small","-")))</f>
        <v>-</v>
      </c>
      <c r="R122" s="66"/>
      <c r="T122" s="166" t="s">
        <v>367</v>
      </c>
      <c r="U122" s="67"/>
      <c r="V122" s="67"/>
      <c r="W122" s="65" t="n">
        <v>0</v>
      </c>
      <c r="X122" s="65" t="n">
        <v>0</v>
      </c>
      <c r="Y122" s="64" t="s">
        <v>262</v>
      </c>
      <c r="Z122" s="88"/>
      <c r="AA122" s="88"/>
      <c r="CN122" s="32"/>
      <c r="CO122" s="32"/>
    </row>
    <row r="123" customFormat="false" ht="12.75" hidden="false" customHeight="false" outlineLevel="0" collapsed="false">
      <c r="B123" s="176" t="s">
        <v>368</v>
      </c>
      <c r="C123" s="177"/>
      <c r="D123" s="177"/>
      <c r="E123" s="65"/>
      <c r="F123" s="64" t="n">
        <v>2</v>
      </c>
      <c r="G123" s="64" t="n">
        <v>3</v>
      </c>
      <c r="H123" s="65"/>
      <c r="I123" s="64" t="s">
        <v>345</v>
      </c>
      <c r="J123" s="64"/>
      <c r="K123" s="64" t="s">
        <v>366</v>
      </c>
      <c r="L123" s="64" t="n">
        <v>2</v>
      </c>
      <c r="M123" s="64" t="n">
        <v>3</v>
      </c>
      <c r="N123" s="64" t="n">
        <f aca="false">G123+IF(G123&gt;0,StrStep,0)+H123</f>
        <v>9</v>
      </c>
      <c r="O123" s="64" t="str">
        <f aca="true">OFFSET(ActionDice,N123,0)</f>
        <v>d8+d6</v>
      </c>
      <c r="P123" s="64"/>
      <c r="Q123" s="66" t="str">
        <f aca="false">IF(L123&gt;IF(I123="- / - / -",RaceWeaponMissile,RaceWeapon2H),"Too large",IF(L123&gt;RaceWeapon1H,"Two-handed",IF(L123&lt;RaceWeaponMin,"Too small","-")))</f>
        <v>-</v>
      </c>
      <c r="R123" s="66"/>
      <c r="T123" s="166" t="s">
        <v>369</v>
      </c>
      <c r="U123" s="67"/>
      <c r="V123" s="67"/>
      <c r="W123" s="65" t="n">
        <v>0</v>
      </c>
      <c r="X123" s="65" t="n">
        <v>1</v>
      </c>
      <c r="Y123" s="64" t="s">
        <v>253</v>
      </c>
      <c r="Z123" s="88"/>
      <c r="AA123" s="88"/>
      <c r="CN123" s="32"/>
      <c r="CO123" s="32"/>
    </row>
    <row r="124" customFormat="false" ht="12.75" hidden="false" customHeight="false" outlineLevel="0" collapsed="false">
      <c r="B124" s="176" t="s">
        <v>370</v>
      </c>
      <c r="C124" s="177"/>
      <c r="D124" s="177"/>
      <c r="E124" s="65" t="s">
        <v>219</v>
      </c>
      <c r="F124" s="64" t="n">
        <v>0.8</v>
      </c>
      <c r="G124" s="64" t="n">
        <v>2</v>
      </c>
      <c r="H124" s="65"/>
      <c r="I124" s="178" t="s">
        <v>371</v>
      </c>
      <c r="J124" s="64"/>
      <c r="K124" s="64" t="s">
        <v>372</v>
      </c>
      <c r="L124" s="64" t="n">
        <v>1</v>
      </c>
      <c r="M124" s="64" t="n">
        <v>1</v>
      </c>
      <c r="N124" s="64" t="n">
        <f aca="false">G124+IF(G124&gt;0,StrStep,0)+H124</f>
        <v>8</v>
      </c>
      <c r="O124" s="64" t="str">
        <f aca="true">OFFSET(ActionDice,N124,0)</f>
        <v>2d6</v>
      </c>
      <c r="P124" s="64"/>
      <c r="Q124" s="66" t="str">
        <f aca="false">IF(L124&gt;IF(I124="- / - / -",RaceWeaponMissile,RaceWeapon2H),"Too large",IF(L124&gt;RaceWeapon1H,"Two-handed",IF(L124&lt;RaceWeaponMin,"Too small","-")))</f>
        <v>-</v>
      </c>
      <c r="R124" s="66"/>
      <c r="T124" s="166" t="s">
        <v>373</v>
      </c>
      <c r="U124" s="67"/>
      <c r="V124" s="67"/>
      <c r="W124" s="65" t="n">
        <v>0</v>
      </c>
      <c r="X124" s="65" t="n">
        <v>0</v>
      </c>
      <c r="Y124" s="64" t="s">
        <v>255</v>
      </c>
      <c r="Z124" s="88"/>
      <c r="AA124" s="88"/>
      <c r="CN124" s="32"/>
      <c r="CO124" s="32"/>
    </row>
    <row r="125" customFormat="false" ht="12.75" hidden="false" customHeight="false" outlineLevel="0" collapsed="false">
      <c r="B125" s="176" t="s">
        <v>374</v>
      </c>
      <c r="C125" s="177"/>
      <c r="D125" s="177"/>
      <c r="E125" s="65"/>
      <c r="F125" s="64" t="n">
        <v>45</v>
      </c>
      <c r="G125" s="64" t="n">
        <v>3</v>
      </c>
      <c r="H125" s="65"/>
      <c r="I125" s="64" t="s">
        <v>345</v>
      </c>
      <c r="J125" s="64"/>
      <c r="K125" s="64" t="s">
        <v>375</v>
      </c>
      <c r="L125" s="64" t="n">
        <v>2</v>
      </c>
      <c r="M125" s="64" t="n">
        <v>2</v>
      </c>
      <c r="N125" s="64" t="n">
        <f aca="false">G125+IF(G125&gt;0,StrStep,0)+H125</f>
        <v>9</v>
      </c>
      <c r="O125" s="64" t="str">
        <f aca="true">OFFSET(ActionDice,N125,0)</f>
        <v>d8+d6</v>
      </c>
      <c r="P125" s="64"/>
      <c r="Q125" s="66" t="str">
        <f aca="false">IF(L125&gt;IF(I125="- / - / -",RaceWeaponMissile,RaceWeapon2H),"Too large",IF(L125&gt;RaceWeapon1H,"Two-handed",IF(L125&lt;RaceWeaponMin,"Too small","-")))</f>
        <v>-</v>
      </c>
      <c r="R125" s="66"/>
      <c r="T125" s="166" t="s">
        <v>376</v>
      </c>
      <c r="U125" s="67"/>
      <c r="V125" s="67"/>
      <c r="W125" s="65" t="n">
        <v>0</v>
      </c>
      <c r="X125" s="65" t="n">
        <v>0</v>
      </c>
      <c r="Y125" s="64" t="s">
        <v>255</v>
      </c>
      <c r="Z125" s="88"/>
      <c r="AA125" s="88"/>
      <c r="CN125" s="32"/>
      <c r="CO125" s="32"/>
    </row>
    <row r="126" customFormat="false" ht="12.75" hidden="false" customHeight="false" outlineLevel="0" collapsed="false">
      <c r="B126" s="176" t="s">
        <v>377</v>
      </c>
      <c r="C126" s="177"/>
      <c r="D126" s="177"/>
      <c r="E126" s="65"/>
      <c r="F126" s="64" t="n">
        <v>6</v>
      </c>
      <c r="G126" s="64" t="n">
        <v>4</v>
      </c>
      <c r="H126" s="65"/>
      <c r="I126" s="64" t="s">
        <v>345</v>
      </c>
      <c r="J126" s="64"/>
      <c r="K126" s="64" t="s">
        <v>352</v>
      </c>
      <c r="L126" s="64" t="n">
        <v>2</v>
      </c>
      <c r="M126" s="64" t="n">
        <v>2</v>
      </c>
      <c r="N126" s="64" t="n">
        <f aca="false">G126+IF(G126&gt;0,StrStep,0)+H126</f>
        <v>10</v>
      </c>
      <c r="O126" s="64" t="str">
        <f aca="true">OFFSET(ActionDice,N126,0)</f>
        <v>2d8</v>
      </c>
      <c r="P126" s="64"/>
      <c r="Q126" s="66" t="str">
        <f aca="false">IF(L126&gt;IF(I126="- / - / -",RaceWeaponMissile,RaceWeapon2H),"Too large",IF(L126&gt;RaceWeapon1H,"Two-handed",IF(L126&lt;RaceWeaponMin,"Too small","-")))</f>
        <v>-</v>
      </c>
      <c r="R126" s="66"/>
      <c r="T126" s="166" t="s">
        <v>378</v>
      </c>
      <c r="U126" s="67"/>
      <c r="V126" s="67"/>
      <c r="W126" s="65" t="n">
        <v>0</v>
      </c>
      <c r="X126" s="65" t="n">
        <v>0</v>
      </c>
      <c r="Y126" s="64" t="s">
        <v>253</v>
      </c>
      <c r="Z126" s="88"/>
      <c r="AA126" s="88"/>
      <c r="CN126" s="32"/>
      <c r="CO126" s="32"/>
    </row>
    <row r="127" customFormat="false" ht="12.75" hidden="false" customHeight="false" outlineLevel="0" collapsed="false">
      <c r="B127" s="176" t="s">
        <v>379</v>
      </c>
      <c r="C127" s="177"/>
      <c r="D127" s="177"/>
      <c r="E127" s="65"/>
      <c r="F127" s="64" t="n">
        <v>35</v>
      </c>
      <c r="G127" s="64" t="n">
        <v>5</v>
      </c>
      <c r="H127" s="65"/>
      <c r="I127" s="64" t="s">
        <v>345</v>
      </c>
      <c r="J127" s="64"/>
      <c r="K127" s="64" t="s">
        <v>380</v>
      </c>
      <c r="L127" s="64" t="n">
        <v>3</v>
      </c>
      <c r="M127" s="64" t="n">
        <v>5</v>
      </c>
      <c r="N127" s="64" t="n">
        <f aca="false">G127+IF(G127&gt;0,StrStep,0)+H127</f>
        <v>11</v>
      </c>
      <c r="O127" s="64" t="str">
        <f aca="true">OFFSET(ActionDice,N127,0)</f>
        <v>d10 + d8</v>
      </c>
      <c r="P127" s="64"/>
      <c r="Q127" s="66" t="str">
        <f aca="false">IF(L127&gt;IF(I127="- / - / -",RaceWeaponMissile,RaceWeapon2H),"Too large",IF(L127&gt;RaceWeapon1H,"Two-handed",IF(L127&lt;RaceWeaponMin,"Too small","-")))</f>
        <v>-</v>
      </c>
      <c r="R127" s="66"/>
      <c r="T127" s="166" t="s">
        <v>381</v>
      </c>
      <c r="U127" s="67"/>
      <c r="V127" s="67"/>
      <c r="W127" s="65" t="n">
        <v>0</v>
      </c>
      <c r="X127" s="65" t="n">
        <v>0</v>
      </c>
      <c r="Y127" s="64" t="s">
        <v>255</v>
      </c>
      <c r="Z127" s="88"/>
      <c r="AA127" s="88"/>
      <c r="CN127" s="32"/>
      <c r="CO127" s="32"/>
    </row>
    <row r="128" customFormat="false" ht="12.75" hidden="false" customHeight="false" outlineLevel="0" collapsed="false">
      <c r="B128" s="176" t="s">
        <v>382</v>
      </c>
      <c r="C128" s="177"/>
      <c r="D128" s="177"/>
      <c r="E128" s="65"/>
      <c r="F128" s="64" t="n">
        <v>35</v>
      </c>
      <c r="G128" s="64" t="n">
        <v>5</v>
      </c>
      <c r="H128" s="65"/>
      <c r="I128" s="64" t="s">
        <v>345</v>
      </c>
      <c r="J128" s="64"/>
      <c r="K128" s="64" t="s">
        <v>375</v>
      </c>
      <c r="L128" s="64" t="n">
        <v>3</v>
      </c>
      <c r="M128" s="64" t="n">
        <v>4</v>
      </c>
      <c r="N128" s="64" t="n">
        <f aca="false">G128+IF(G128&gt;0,StrStep,0)+H128</f>
        <v>11</v>
      </c>
      <c r="O128" s="64" t="str">
        <f aca="true">OFFSET(ActionDice,N128,0)</f>
        <v>d10 + d8</v>
      </c>
      <c r="P128" s="64"/>
      <c r="Q128" s="66" t="str">
        <f aca="false">IF(L128&gt;IF(I128="- / - / -",RaceWeaponMissile,RaceWeapon2H),"Too large",IF(L128&gt;RaceWeapon1H,"Two-handed",IF(L128&lt;RaceWeaponMin,"Too small","-")))</f>
        <v>-</v>
      </c>
      <c r="R128" s="66"/>
      <c r="T128" s="166" t="s">
        <v>383</v>
      </c>
      <c r="U128" s="67"/>
      <c r="V128" s="67"/>
      <c r="W128" s="65" t="n">
        <v>0</v>
      </c>
      <c r="X128" s="65" t="n">
        <v>0</v>
      </c>
      <c r="Y128" s="64" t="s">
        <v>255</v>
      </c>
      <c r="Z128" s="88"/>
      <c r="AA128" s="88"/>
      <c r="CN128" s="32"/>
      <c r="CO128" s="32"/>
    </row>
    <row r="129" customFormat="false" ht="12.75" hidden="false" customHeight="false" outlineLevel="0" collapsed="false">
      <c r="B129" s="176" t="s">
        <v>384</v>
      </c>
      <c r="C129" s="177"/>
      <c r="D129" s="177"/>
      <c r="E129" s="65"/>
      <c r="F129" s="64" t="n">
        <v>15</v>
      </c>
      <c r="G129" s="64" t="n">
        <v>4</v>
      </c>
      <c r="H129" s="65"/>
      <c r="I129" s="64" t="s">
        <v>345</v>
      </c>
      <c r="J129" s="64"/>
      <c r="K129" s="64" t="s">
        <v>385</v>
      </c>
      <c r="L129" s="64" t="n">
        <v>2</v>
      </c>
      <c r="M129" s="64" t="n">
        <v>3</v>
      </c>
      <c r="N129" s="64" t="n">
        <f aca="false">G129+IF(G129&gt;0,StrStep,0)+H129</f>
        <v>10</v>
      </c>
      <c r="O129" s="64" t="str">
        <f aca="true">OFFSET(ActionDice,N129,0)</f>
        <v>2d8</v>
      </c>
      <c r="P129" s="64"/>
      <c r="Q129" s="66" t="str">
        <f aca="false">IF(L129&gt;IF(I129="- / - / -",RaceWeaponMissile,RaceWeapon2H),"Too large",IF(L129&gt;RaceWeapon1H,"Two-handed",IF(L129&lt;RaceWeaponMin,"Too small","-")))</f>
        <v>-</v>
      </c>
      <c r="R129" s="66"/>
      <c r="T129" s="166" t="s">
        <v>386</v>
      </c>
      <c r="U129" s="67"/>
      <c r="V129" s="67"/>
      <c r="W129" s="65" t="n">
        <v>0</v>
      </c>
      <c r="X129" s="65" t="n">
        <v>0</v>
      </c>
      <c r="Y129" s="64" t="s">
        <v>255</v>
      </c>
      <c r="Z129" s="88"/>
      <c r="AA129" s="88"/>
      <c r="CN129" s="32"/>
      <c r="CO129" s="32"/>
    </row>
    <row r="130" customFormat="false" ht="12.75" hidden="false" customHeight="false" outlineLevel="0" collapsed="false">
      <c r="B130" s="176" t="s">
        <v>387</v>
      </c>
      <c r="C130" s="177"/>
      <c r="D130" s="177"/>
      <c r="E130" s="65"/>
      <c r="F130" s="64" t="n">
        <v>0.3</v>
      </c>
      <c r="G130" s="64" t="n">
        <v>1</v>
      </c>
      <c r="H130" s="65"/>
      <c r="I130" s="179" t="s">
        <v>388</v>
      </c>
      <c r="J130" s="180"/>
      <c r="K130" s="64" t="s">
        <v>389</v>
      </c>
      <c r="L130" s="64" t="n">
        <v>1</v>
      </c>
      <c r="M130" s="64" t="n">
        <v>0.6</v>
      </c>
      <c r="N130" s="64" t="n">
        <f aca="false">G130+IF(G130&gt;0,StrStep,0)+H130</f>
        <v>7</v>
      </c>
      <c r="O130" s="64" t="str">
        <f aca="true">OFFSET(ActionDice,N130,0)</f>
        <v>d12</v>
      </c>
      <c r="P130" s="64"/>
      <c r="Q130" s="66" t="str">
        <f aca="false">IF(L130&gt;IF(I130="- / - / -",RaceWeaponMissile,RaceWeapon2H),"Too large",IF(L130&gt;RaceWeapon1H,"Two-handed",IF(L130&lt;RaceWeaponMin,"Too small","-")))</f>
        <v>-</v>
      </c>
      <c r="R130" s="66"/>
      <c r="T130" s="166" t="s">
        <v>390</v>
      </c>
      <c r="U130" s="67"/>
      <c r="V130" s="67"/>
      <c r="W130" s="65" t="n">
        <v>0</v>
      </c>
      <c r="X130" s="65" t="n">
        <v>0</v>
      </c>
      <c r="Y130" s="64" t="s">
        <v>259</v>
      </c>
      <c r="Z130" s="88"/>
      <c r="AA130" s="88"/>
      <c r="CN130" s="32"/>
      <c r="CO130" s="32"/>
    </row>
    <row r="131" customFormat="false" ht="12.75" hidden="false" customHeight="false" outlineLevel="0" collapsed="false">
      <c r="B131" s="176" t="s">
        <v>391</v>
      </c>
      <c r="C131" s="177"/>
      <c r="D131" s="177"/>
      <c r="E131" s="65"/>
      <c r="F131" s="64" t="n">
        <v>150</v>
      </c>
      <c r="G131" s="64" t="n">
        <v>6</v>
      </c>
      <c r="H131" s="65"/>
      <c r="I131" s="64" t="s">
        <v>345</v>
      </c>
      <c r="J131" s="64"/>
      <c r="K131" s="64" t="s">
        <v>392</v>
      </c>
      <c r="L131" s="64" t="n">
        <v>6</v>
      </c>
      <c r="M131" s="64" t="n">
        <v>10</v>
      </c>
      <c r="N131" s="64" t="n">
        <f aca="false">G131+IF(G131&gt;0,StrStep,0)+H131</f>
        <v>12</v>
      </c>
      <c r="O131" s="64" t="str">
        <f aca="true">OFFSET(ActionDice,N131,0)</f>
        <v>2d10</v>
      </c>
      <c r="P131" s="64"/>
      <c r="Q131" s="66" t="str">
        <f aca="false">IF(L131&gt;IF(I131="- / - / -",RaceWeaponMissile,RaceWeapon2H),"Too large",IF(L131&gt;RaceWeapon1H,"Two-handed",IF(L131&lt;RaceWeaponMin,"Too small","-")))</f>
        <v>Two-handed</v>
      </c>
      <c r="R131" s="66"/>
      <c r="T131" s="166" t="s">
        <v>393</v>
      </c>
      <c r="U131" s="67"/>
      <c r="V131" s="67"/>
      <c r="W131" s="65" t="n">
        <v>0</v>
      </c>
      <c r="X131" s="65" t="n">
        <v>0</v>
      </c>
      <c r="Y131" s="64" t="s">
        <v>270</v>
      </c>
      <c r="Z131" s="88"/>
      <c r="AA131" s="88"/>
      <c r="CN131" s="32"/>
      <c r="CO131" s="32"/>
    </row>
    <row r="132" customFormat="false" ht="12.75" hidden="false" customHeight="false" outlineLevel="0" collapsed="false">
      <c r="B132" s="176" t="s">
        <v>394</v>
      </c>
      <c r="C132" s="177"/>
      <c r="D132" s="177"/>
      <c r="E132" s="65"/>
      <c r="F132" s="64" t="n">
        <v>20</v>
      </c>
      <c r="G132" s="64" t="n">
        <v>4</v>
      </c>
      <c r="H132" s="65"/>
      <c r="I132" s="64" t="s">
        <v>345</v>
      </c>
      <c r="J132" s="64"/>
      <c r="K132" s="64" t="s">
        <v>349</v>
      </c>
      <c r="L132" s="64" t="n">
        <v>3</v>
      </c>
      <c r="M132" s="64" t="n">
        <v>5</v>
      </c>
      <c r="N132" s="64" t="n">
        <f aca="false">G132+IF(G132&gt;0,StrStep,0)+H132</f>
        <v>10</v>
      </c>
      <c r="O132" s="64" t="str">
        <f aca="true">OFFSET(ActionDice,N132,0)</f>
        <v>2d8</v>
      </c>
      <c r="P132" s="64"/>
      <c r="Q132" s="66" t="str">
        <f aca="false">IF(L132&gt;IF(I132="- / - / -",RaceWeaponMissile,RaceWeapon2H),"Too large",IF(L132&gt;RaceWeapon1H,"Two-handed",IF(L132&lt;RaceWeaponMin,"Too small","-")))</f>
        <v>-</v>
      </c>
      <c r="R132" s="66"/>
      <c r="T132" s="166" t="s">
        <v>395</v>
      </c>
      <c r="U132" s="67"/>
      <c r="V132" s="67"/>
      <c r="W132" s="65" t="n">
        <v>0</v>
      </c>
      <c r="X132" s="65" t="n">
        <v>0</v>
      </c>
      <c r="Y132" s="64" t="s">
        <v>255</v>
      </c>
      <c r="Z132" s="88"/>
      <c r="AA132" s="88"/>
      <c r="CN132" s="32"/>
      <c r="CO132" s="32"/>
    </row>
    <row r="133" customFormat="false" ht="12.75" hidden="false" customHeight="false" outlineLevel="0" collapsed="false">
      <c r="B133" s="176" t="s">
        <v>396</v>
      </c>
      <c r="C133" s="177"/>
      <c r="D133" s="177"/>
      <c r="E133" s="65"/>
      <c r="F133" s="64" t="n">
        <v>30</v>
      </c>
      <c r="G133" s="64" t="n">
        <v>1</v>
      </c>
      <c r="H133" s="65"/>
      <c r="I133" s="64" t="s">
        <v>345</v>
      </c>
      <c r="J133" s="64"/>
      <c r="K133" s="64" t="s">
        <v>355</v>
      </c>
      <c r="L133" s="64" t="n">
        <v>1</v>
      </c>
      <c r="M133" s="64" t="n">
        <v>1</v>
      </c>
      <c r="N133" s="64" t="n">
        <f aca="false">G133+IF(G133&gt;0,StrStep,0)+H133</f>
        <v>7</v>
      </c>
      <c r="O133" s="64" t="str">
        <f aca="true">OFFSET(ActionDice,N133,0)</f>
        <v>d12</v>
      </c>
      <c r="P133" s="64"/>
      <c r="Q133" s="66" t="str">
        <f aca="false">IF(L133&gt;IF(I133="- / - / -",RaceWeaponMissile,RaceWeapon2H),"Too large",IF(L133&gt;RaceWeapon1H,"Two-handed",IF(L133&lt;RaceWeaponMin,"Too small","-")))</f>
        <v>-</v>
      </c>
      <c r="R133" s="66"/>
      <c r="T133" s="166" t="s">
        <v>204</v>
      </c>
      <c r="U133" s="67"/>
      <c r="V133" s="67"/>
      <c r="W133" s="65" t="n">
        <v>0</v>
      </c>
      <c r="X133" s="65" t="n">
        <v>0</v>
      </c>
      <c r="Y133" s="64" t="s">
        <v>259</v>
      </c>
      <c r="Z133" s="88"/>
      <c r="AA133" s="88"/>
      <c r="CN133" s="32"/>
      <c r="CO133" s="32"/>
    </row>
    <row r="134" customFormat="false" ht="12.75" hidden="false" customHeight="false" outlineLevel="0" collapsed="false">
      <c r="B134" s="176" t="s">
        <v>397</v>
      </c>
      <c r="C134" s="177"/>
      <c r="D134" s="177"/>
      <c r="E134" s="65"/>
      <c r="F134" s="64" t="s">
        <v>345</v>
      </c>
      <c r="G134" s="64" t="s">
        <v>345</v>
      </c>
      <c r="H134" s="65" t="s">
        <v>345</v>
      </c>
      <c r="I134" s="64" t="s">
        <v>345</v>
      </c>
      <c r="J134" s="64"/>
      <c r="K134" s="64" t="s">
        <v>345</v>
      </c>
      <c r="L134" s="64" t="s">
        <v>345</v>
      </c>
      <c r="M134" s="64" t="s">
        <v>345</v>
      </c>
      <c r="N134" s="64" t="s">
        <v>345</v>
      </c>
      <c r="O134" s="64" t="s">
        <v>345</v>
      </c>
      <c r="P134" s="64"/>
      <c r="Q134" s="66" t="s">
        <v>345</v>
      </c>
      <c r="R134" s="66"/>
      <c r="T134" s="166" t="s">
        <v>398</v>
      </c>
      <c r="U134" s="67"/>
      <c r="V134" s="67"/>
      <c r="W134" s="65" t="n">
        <v>0</v>
      </c>
      <c r="X134" s="65" t="n">
        <v>0</v>
      </c>
      <c r="Y134" s="64" t="s">
        <v>255</v>
      </c>
      <c r="Z134" s="88"/>
      <c r="AA134" s="88"/>
      <c r="CN134" s="32"/>
      <c r="CO134" s="32"/>
    </row>
    <row r="135" customFormat="false" ht="12.75" hidden="false" customHeight="false" outlineLevel="0" collapsed="false">
      <c r="B135" s="176" t="s">
        <v>399</v>
      </c>
      <c r="C135" s="177"/>
      <c r="D135" s="177"/>
      <c r="E135" s="65"/>
      <c r="F135" s="64" t="s">
        <v>345</v>
      </c>
      <c r="G135" s="64" t="n">
        <v>5</v>
      </c>
      <c r="H135" s="65"/>
      <c r="I135" s="64" t="s">
        <v>345</v>
      </c>
      <c r="J135" s="64"/>
      <c r="K135" s="64" t="s">
        <v>366</v>
      </c>
      <c r="L135" s="64" t="n">
        <v>5</v>
      </c>
      <c r="M135" s="64" t="n">
        <v>5</v>
      </c>
      <c r="N135" s="64" t="n">
        <f aca="false">G135+IF(G135&gt;0,StrStep,0)+H135</f>
        <v>11</v>
      </c>
      <c r="O135" s="64" t="str">
        <f aca="true">OFFSET(ActionDice,N135,0)</f>
        <v>d10 + d8</v>
      </c>
      <c r="P135" s="64"/>
      <c r="Q135" s="66" t="str">
        <f aca="false">IF(L135&gt;IF(I135="- / - / -",RaceWeaponMissile,RaceWeapon2H),"Too large",IF(L135&gt;RaceWeapon1H,"Two-handed",IF(L135&lt;RaceWeaponMin,"Too small","-")))</f>
        <v>Two-handed</v>
      </c>
      <c r="R135" s="66"/>
      <c r="T135" s="166" t="s">
        <v>400</v>
      </c>
      <c r="U135" s="67"/>
      <c r="V135" s="67"/>
      <c r="W135" s="65" t="n">
        <v>2</v>
      </c>
      <c r="X135" s="65" t="n">
        <v>2</v>
      </c>
      <c r="Y135" s="64" t="s">
        <v>259</v>
      </c>
      <c r="Z135" s="88"/>
      <c r="AA135" s="88"/>
      <c r="CN135" s="32"/>
      <c r="CO135" s="32"/>
    </row>
    <row r="136" customFormat="false" ht="12.75" hidden="false" customHeight="false" outlineLevel="0" collapsed="false">
      <c r="B136" s="176" t="s">
        <v>401</v>
      </c>
      <c r="C136" s="177"/>
      <c r="D136" s="177"/>
      <c r="E136" s="65"/>
      <c r="F136" s="64" t="s">
        <v>345</v>
      </c>
      <c r="G136" s="64" t="n">
        <v>4</v>
      </c>
      <c r="H136" s="65"/>
      <c r="I136" s="64" t="s">
        <v>345</v>
      </c>
      <c r="J136" s="64"/>
      <c r="K136" s="64" t="s">
        <v>366</v>
      </c>
      <c r="L136" s="64" t="n">
        <v>5</v>
      </c>
      <c r="M136" s="64" t="n">
        <v>5</v>
      </c>
      <c r="N136" s="64" t="n">
        <f aca="false">G136+IF(G136&gt;0,StrStep,0)+H136</f>
        <v>10</v>
      </c>
      <c r="O136" s="64" t="str">
        <f aca="true">OFFSET(ActionDice,N136,0)</f>
        <v>2d8</v>
      </c>
      <c r="P136" s="64"/>
      <c r="Q136" s="66" t="str">
        <f aca="false">IF(L136&gt;IF(I136="- / - / -",RaceWeaponMissile,RaceWeapon2H),"Too large",IF(L136&gt;RaceWeapon1H,"Two-handed",IF(L136&lt;RaceWeaponMin,"Too small","-")))</f>
        <v>Two-handed</v>
      </c>
      <c r="R136" s="66"/>
      <c r="T136" s="166" t="s">
        <v>402</v>
      </c>
      <c r="U136" s="67"/>
      <c r="V136" s="67"/>
      <c r="W136" s="65" t="n">
        <v>0</v>
      </c>
      <c r="X136" s="65" t="n">
        <v>0</v>
      </c>
      <c r="Y136" s="64" t="s">
        <v>270</v>
      </c>
      <c r="Z136" s="88"/>
      <c r="AA136" s="88"/>
      <c r="CN136" s="32"/>
      <c r="CO136" s="32"/>
    </row>
    <row r="137" customFormat="false" ht="12.75" hidden="false" customHeight="false" outlineLevel="0" collapsed="false">
      <c r="B137" s="176" t="s">
        <v>403</v>
      </c>
      <c r="C137" s="177"/>
      <c r="D137" s="177"/>
      <c r="E137" s="65"/>
      <c r="F137" s="64" t="s">
        <v>345</v>
      </c>
      <c r="G137" s="64" t="n">
        <v>4</v>
      </c>
      <c r="H137" s="65"/>
      <c r="I137" s="64" t="s">
        <v>345</v>
      </c>
      <c r="J137" s="64"/>
      <c r="K137" s="64" t="s">
        <v>366</v>
      </c>
      <c r="L137" s="64" t="n">
        <v>5</v>
      </c>
      <c r="M137" s="64" t="n">
        <v>5</v>
      </c>
      <c r="N137" s="64" t="n">
        <f aca="false">G137+IF(G137&gt;0,StrStep,0)+H137</f>
        <v>10</v>
      </c>
      <c r="O137" s="64" t="str">
        <f aca="true">OFFSET(ActionDice,N137,0)</f>
        <v>2d8</v>
      </c>
      <c r="P137" s="64"/>
      <c r="Q137" s="66" t="str">
        <f aca="false">IF(L137&gt;IF(I137="- / - / -",RaceWeaponMissile,RaceWeapon2H),"Too large",IF(L137&gt;RaceWeapon1H,"Two-handed",IF(L137&lt;RaceWeaponMin,"Too small","-")))</f>
        <v>Two-handed</v>
      </c>
      <c r="R137" s="66"/>
      <c r="T137" s="166" t="s">
        <v>404</v>
      </c>
      <c r="U137" s="67"/>
      <c r="V137" s="67"/>
      <c r="W137" s="65" t="n">
        <v>0</v>
      </c>
      <c r="X137" s="65" t="n">
        <v>0</v>
      </c>
      <c r="Y137" s="64" t="s">
        <v>270</v>
      </c>
      <c r="Z137" s="88"/>
      <c r="AA137" s="88"/>
      <c r="CN137" s="32"/>
      <c r="CO137" s="32"/>
    </row>
    <row r="138" customFormat="false" ht="12.75" hidden="false" customHeight="false" outlineLevel="0" collapsed="false">
      <c r="B138" s="176" t="s">
        <v>405</v>
      </c>
      <c r="C138" s="177"/>
      <c r="D138" s="177"/>
      <c r="E138" s="65"/>
      <c r="F138" s="64" t="s">
        <v>345</v>
      </c>
      <c r="G138" s="64" t="n">
        <v>4</v>
      </c>
      <c r="H138" s="65"/>
      <c r="I138" s="64" t="s">
        <v>345</v>
      </c>
      <c r="J138" s="64"/>
      <c r="K138" s="64" t="s">
        <v>406</v>
      </c>
      <c r="L138" s="64" t="n">
        <v>5</v>
      </c>
      <c r="M138" s="64" t="n">
        <v>5</v>
      </c>
      <c r="N138" s="64" t="n">
        <f aca="false">G138+IF(G138&gt;0,StrStep,0)+H138</f>
        <v>10</v>
      </c>
      <c r="O138" s="64" t="str">
        <f aca="true">OFFSET(ActionDice,N138,0)</f>
        <v>2d8</v>
      </c>
      <c r="P138" s="64"/>
      <c r="Q138" s="66" t="str">
        <f aca="false">IF(L138&gt;IF(I138="- / - / -",RaceWeaponMissile,RaceWeapon2H),"Too large",IF(L138&gt;RaceWeapon1H,"Two-handed",IF(L138&lt;RaceWeaponMin,"Too small","-")))</f>
        <v>Two-handed</v>
      </c>
      <c r="R138" s="66"/>
      <c r="T138" s="166" t="s">
        <v>407</v>
      </c>
      <c r="U138" s="67"/>
      <c r="V138" s="67"/>
      <c r="W138" s="65" t="n">
        <v>0</v>
      </c>
      <c r="X138" s="65" t="n">
        <v>0</v>
      </c>
      <c r="Y138" s="64" t="s">
        <v>255</v>
      </c>
      <c r="Z138" s="88"/>
      <c r="AA138" s="88"/>
      <c r="AC138" s="56"/>
      <c r="AD138" s="56"/>
      <c r="AE138" s="56"/>
      <c r="AF138" s="56"/>
      <c r="AG138" s="42"/>
      <c r="AH138" s="42"/>
      <c r="AI138" s="42"/>
      <c r="AJ138" s="42"/>
      <c r="AK138" s="181"/>
      <c r="AL138" s="181"/>
      <c r="AM138" s="42"/>
      <c r="AN138" s="42"/>
      <c r="AO138" s="42"/>
      <c r="AP138" s="42"/>
      <c r="AQ138" s="42"/>
      <c r="AR138" s="42"/>
      <c r="AS138" s="42"/>
      <c r="AT138" s="42"/>
      <c r="CN138" s="32"/>
      <c r="CO138" s="32"/>
    </row>
    <row r="139" customFormat="false" ht="12.75" hidden="false" customHeight="false" outlineLevel="0" collapsed="false">
      <c r="B139" s="176" t="s">
        <v>408</v>
      </c>
      <c r="C139" s="177"/>
      <c r="D139" s="177"/>
      <c r="E139" s="65"/>
      <c r="F139" s="64" t="s">
        <v>345</v>
      </c>
      <c r="G139" s="64" t="n">
        <v>5</v>
      </c>
      <c r="H139" s="65"/>
      <c r="I139" s="64" t="s">
        <v>345</v>
      </c>
      <c r="J139" s="64"/>
      <c r="K139" s="64" t="s">
        <v>361</v>
      </c>
      <c r="L139" s="64" t="n">
        <v>5</v>
      </c>
      <c r="M139" s="64" t="n">
        <v>6</v>
      </c>
      <c r="N139" s="64" t="n">
        <f aca="false">G139+IF(G139&gt;0,StrStep,0)+H139</f>
        <v>11</v>
      </c>
      <c r="O139" s="64" t="str">
        <f aca="true">OFFSET(ActionDice,N139,0)</f>
        <v>d10 + d8</v>
      </c>
      <c r="P139" s="64"/>
      <c r="Q139" s="66" t="str">
        <f aca="false">IF(L139&gt;IF(I139="- / - / -",RaceWeaponMissile,RaceWeapon2H),"Too large",IF(L139&gt;RaceWeapon1H,"Two-handed",IF(L139&lt;RaceWeaponMin,"Too small","-")))</f>
        <v>Two-handed</v>
      </c>
      <c r="R139" s="66"/>
      <c r="T139" s="166" t="s">
        <v>409</v>
      </c>
      <c r="U139" s="67"/>
      <c r="V139" s="67"/>
      <c r="W139" s="65" t="n">
        <v>1</v>
      </c>
      <c r="X139" s="65" t="n">
        <v>1</v>
      </c>
      <c r="Y139" s="64" t="s">
        <v>270</v>
      </c>
      <c r="Z139" s="88"/>
      <c r="AA139" s="88"/>
      <c r="AC139" s="56"/>
      <c r="AD139" s="56"/>
      <c r="AE139" s="56"/>
      <c r="AF139" s="56"/>
      <c r="AG139" s="42"/>
      <c r="AH139" s="42"/>
      <c r="AI139" s="42"/>
      <c r="AJ139" s="42"/>
      <c r="AK139" s="42"/>
      <c r="AL139" s="42"/>
      <c r="AM139" s="42"/>
      <c r="AN139" s="42"/>
      <c r="AO139" s="42"/>
      <c r="AP139" s="42"/>
      <c r="AQ139" s="42"/>
      <c r="AR139" s="42"/>
      <c r="AS139" s="42"/>
      <c r="AT139" s="42"/>
      <c r="CN139" s="32"/>
      <c r="CO139" s="32"/>
    </row>
    <row r="140" customFormat="false" ht="12.75" hidden="false" customHeight="false" outlineLevel="0" collapsed="false">
      <c r="B140" s="176" t="s">
        <v>410</v>
      </c>
      <c r="C140" s="177"/>
      <c r="D140" s="177"/>
      <c r="E140" s="65"/>
      <c r="F140" s="64" t="n">
        <v>100</v>
      </c>
      <c r="G140" s="64" t="n">
        <v>7</v>
      </c>
      <c r="H140" s="65"/>
      <c r="I140" s="64" t="s">
        <v>345</v>
      </c>
      <c r="J140" s="64"/>
      <c r="K140" s="64" t="s">
        <v>392</v>
      </c>
      <c r="L140" s="64" t="n">
        <v>5</v>
      </c>
      <c r="M140" s="64" t="n">
        <v>8</v>
      </c>
      <c r="N140" s="64" t="n">
        <f aca="false">G140+IF(G140&gt;0,StrStep,0)+H140</f>
        <v>13</v>
      </c>
      <c r="O140" s="64" t="str">
        <f aca="true">OFFSET(ActionDice,N140,0)</f>
        <v>d12+d10</v>
      </c>
      <c r="P140" s="64"/>
      <c r="Q140" s="66" t="str">
        <f aca="false">IF(L140&gt;IF(I140="- / - / -",RaceWeaponMissile,RaceWeapon2H),"Too large",IF(L140&gt;RaceWeapon1H,"Two-handed",IF(L140&lt;RaceWeaponMin,"Too small","-")))</f>
        <v>Two-handed</v>
      </c>
      <c r="R140" s="66"/>
      <c r="T140" s="166" t="s">
        <v>411</v>
      </c>
      <c r="U140" s="67"/>
      <c r="V140" s="67"/>
      <c r="W140" s="65" t="n">
        <v>0</v>
      </c>
      <c r="X140" s="65" t="n">
        <v>0</v>
      </c>
      <c r="Y140" s="64" t="s">
        <v>253</v>
      </c>
      <c r="Z140" s="65"/>
      <c r="AA140" s="88"/>
      <c r="AC140" s="56"/>
      <c r="AD140" s="56"/>
      <c r="AE140" s="56"/>
      <c r="AF140" s="56"/>
      <c r="AG140" s="42"/>
      <c r="AH140" s="42"/>
      <c r="AI140" s="42"/>
      <c r="AJ140" s="42"/>
      <c r="AK140" s="42"/>
      <c r="AL140" s="42"/>
      <c r="AM140" s="42"/>
      <c r="AN140" s="42"/>
      <c r="AO140" s="42"/>
      <c r="AP140" s="42"/>
      <c r="AQ140" s="42"/>
      <c r="AR140" s="42"/>
      <c r="AS140" s="42"/>
      <c r="AT140" s="42"/>
      <c r="CN140" s="32"/>
      <c r="CO140" s="32"/>
    </row>
    <row r="141" customFormat="false" ht="12.75" hidden="false" customHeight="false" outlineLevel="0" collapsed="false">
      <c r="B141" s="176" t="s">
        <v>412</v>
      </c>
      <c r="C141" s="177"/>
      <c r="D141" s="177"/>
      <c r="E141" s="65"/>
      <c r="F141" s="64" t="n">
        <v>150</v>
      </c>
      <c r="G141" s="64" t="n">
        <v>8</v>
      </c>
      <c r="H141" s="65"/>
      <c r="I141" s="64" t="s">
        <v>345</v>
      </c>
      <c r="J141" s="64"/>
      <c r="K141" s="64" t="s">
        <v>413</v>
      </c>
      <c r="L141" s="64" t="n">
        <v>6</v>
      </c>
      <c r="M141" s="64" t="n">
        <v>10</v>
      </c>
      <c r="N141" s="64" t="n">
        <f aca="false">G141+IF(G141&gt;0,StrStep,0)+H141</f>
        <v>14</v>
      </c>
      <c r="O141" s="64" t="str">
        <f aca="true">OFFSET(ActionDice,N141,0)</f>
        <v>2d12</v>
      </c>
      <c r="P141" s="64"/>
      <c r="Q141" s="66" t="str">
        <f aca="false">IF(L141&gt;IF(I141="- / - / -",RaceWeaponMissile,RaceWeapon2H),"Too large",IF(L141&gt;RaceWeapon1H,"Two-handed",IF(L141&lt;RaceWeaponMin,"Too small","-")))</f>
        <v>Two-handed</v>
      </c>
      <c r="R141" s="66"/>
      <c r="T141" s="166" t="s">
        <v>414</v>
      </c>
      <c r="U141" s="67"/>
      <c r="V141" s="67"/>
      <c r="W141" s="65" t="n">
        <v>0</v>
      </c>
      <c r="X141" s="65" t="n">
        <v>0</v>
      </c>
      <c r="Y141" s="64" t="s">
        <v>259</v>
      </c>
      <c r="Z141" s="65"/>
      <c r="AA141" s="88"/>
      <c r="AC141" s="56"/>
      <c r="AD141" s="56"/>
      <c r="AE141" s="56"/>
      <c r="AF141" s="56"/>
      <c r="AG141" s="42"/>
      <c r="AH141" s="42"/>
      <c r="AI141" s="42"/>
      <c r="AJ141" s="42"/>
      <c r="AK141" s="181"/>
      <c r="AL141" s="181"/>
      <c r="AM141" s="42"/>
      <c r="AN141" s="42"/>
      <c r="AO141" s="42"/>
      <c r="AP141" s="42"/>
      <c r="AQ141" s="42"/>
      <c r="AR141" s="42"/>
      <c r="AS141" s="42"/>
      <c r="AT141" s="42"/>
      <c r="CN141" s="32"/>
      <c r="CO141" s="32"/>
    </row>
    <row r="142" customFormat="false" ht="12.75" hidden="false" customHeight="false" outlineLevel="0" collapsed="false">
      <c r="B142" s="176" t="s">
        <v>415</v>
      </c>
      <c r="C142" s="177"/>
      <c r="D142" s="177"/>
      <c r="E142" s="65" t="s">
        <v>219</v>
      </c>
      <c r="F142" s="64" t="n">
        <v>5</v>
      </c>
      <c r="G142" s="64" t="n">
        <v>4</v>
      </c>
      <c r="H142" s="65"/>
      <c r="I142" s="64" t="s">
        <v>345</v>
      </c>
      <c r="J142" s="64"/>
      <c r="K142" s="64" t="s">
        <v>416</v>
      </c>
      <c r="L142" s="64" t="n">
        <v>5</v>
      </c>
      <c r="M142" s="64" t="n">
        <v>4</v>
      </c>
      <c r="N142" s="64" t="n">
        <f aca="false">G142+IF(G142&gt;0,StrStep,0)+H142</f>
        <v>10</v>
      </c>
      <c r="O142" s="64" t="str">
        <f aca="true">OFFSET(ActionDice,N142,0)</f>
        <v>2d8</v>
      </c>
      <c r="P142" s="64"/>
      <c r="Q142" s="66" t="str">
        <f aca="false">IF(L142&gt;IF(I142="- / - / -",RaceWeaponMissile,RaceWeapon2H),"Too large",IF(L142&gt;RaceWeapon1H,"Two-handed",IF(L142&lt;RaceWeaponMin,"Too small","-")))</f>
        <v>Two-handed</v>
      </c>
      <c r="R142" s="66"/>
      <c r="T142" s="166" t="s">
        <v>417</v>
      </c>
      <c r="U142" s="67"/>
      <c r="V142" s="67"/>
      <c r="W142" s="65" t="n">
        <v>0</v>
      </c>
      <c r="X142" s="65" t="n">
        <v>0</v>
      </c>
      <c r="Y142" s="64" t="s">
        <v>255</v>
      </c>
      <c r="Z142" s="65"/>
      <c r="AA142" s="88"/>
      <c r="AC142" s="56"/>
      <c r="AD142" s="56"/>
      <c r="AE142" s="56"/>
      <c r="AF142" s="56"/>
      <c r="AG142" s="42"/>
      <c r="AH142" s="42"/>
      <c r="AI142" s="42"/>
      <c r="AJ142" s="42"/>
      <c r="AK142" s="42"/>
      <c r="AL142" s="42"/>
      <c r="AM142" s="42"/>
      <c r="AN142" s="42"/>
      <c r="AO142" s="42"/>
      <c r="AP142" s="42"/>
      <c r="AQ142" s="42"/>
      <c r="AR142" s="42"/>
      <c r="AS142" s="42"/>
      <c r="AT142" s="42"/>
      <c r="CN142" s="32"/>
      <c r="CO142" s="32"/>
    </row>
    <row r="143" customFormat="false" ht="12.75" hidden="false" customHeight="false" outlineLevel="0" collapsed="false">
      <c r="B143" s="176" t="s">
        <v>418</v>
      </c>
      <c r="C143" s="177"/>
      <c r="D143" s="177"/>
      <c r="E143" s="65"/>
      <c r="F143" s="64" t="n">
        <v>10</v>
      </c>
      <c r="G143" s="64" t="n">
        <v>7</v>
      </c>
      <c r="H143" s="65"/>
      <c r="I143" s="64" t="s">
        <v>345</v>
      </c>
      <c r="J143" s="64"/>
      <c r="K143" s="64" t="s">
        <v>366</v>
      </c>
      <c r="L143" s="64" t="n">
        <v>7</v>
      </c>
      <c r="M143" s="64" t="n">
        <v>12</v>
      </c>
      <c r="N143" s="64" t="n">
        <f aca="false">G143+IF(G143&gt;0,StrStep,0)+H143</f>
        <v>13</v>
      </c>
      <c r="O143" s="64" t="str">
        <f aca="true">OFFSET(ActionDice,N143,0)</f>
        <v>d12+d10</v>
      </c>
      <c r="P143" s="64"/>
      <c r="Q143" s="66" t="str">
        <f aca="false">IF(L143&gt;IF(I143="- / - / -",RaceWeaponMissile,RaceWeapon2H),"Too large",IF(L143&gt;RaceWeapon1H,"Two-handed",IF(L143&lt;RaceWeaponMin,"Too small","-")))</f>
        <v>Too large</v>
      </c>
      <c r="R143" s="66"/>
      <c r="T143" s="166" t="s">
        <v>419</v>
      </c>
      <c r="U143" s="67"/>
      <c r="V143" s="67"/>
      <c r="W143" s="65" t="n">
        <v>0</v>
      </c>
      <c r="X143" s="65" t="n">
        <v>0</v>
      </c>
      <c r="Y143" s="64" t="s">
        <v>253</v>
      </c>
      <c r="Z143" s="65"/>
      <c r="AA143" s="88"/>
      <c r="AC143" s="56"/>
      <c r="AD143" s="56"/>
      <c r="AE143" s="56"/>
      <c r="AF143" s="56"/>
      <c r="AG143" s="42"/>
      <c r="AH143" s="42"/>
      <c r="AI143" s="42"/>
      <c r="AJ143" s="42"/>
      <c r="AK143" s="42"/>
      <c r="AL143" s="42"/>
      <c r="AM143" s="42"/>
      <c r="AN143" s="42"/>
      <c r="AO143" s="42"/>
      <c r="AP143" s="42"/>
      <c r="AQ143" s="42"/>
      <c r="AR143" s="42"/>
      <c r="AS143" s="42"/>
      <c r="AT143" s="42"/>
      <c r="CN143" s="32"/>
      <c r="CO143" s="32"/>
    </row>
    <row r="144" customFormat="false" ht="12.75" hidden="false" customHeight="false" outlineLevel="0" collapsed="false">
      <c r="B144" s="176" t="s">
        <v>420</v>
      </c>
      <c r="C144" s="177"/>
      <c r="D144" s="177"/>
      <c r="E144" s="65"/>
      <c r="F144" s="64" t="n">
        <v>3</v>
      </c>
      <c r="G144" s="64" t="n">
        <v>1</v>
      </c>
      <c r="H144" s="65"/>
      <c r="I144" s="64" t="s">
        <v>345</v>
      </c>
      <c r="J144" s="64"/>
      <c r="K144" s="64" t="s">
        <v>421</v>
      </c>
      <c r="L144" s="64" t="n">
        <v>1</v>
      </c>
      <c r="M144" s="64" t="n">
        <v>2</v>
      </c>
      <c r="N144" s="64" t="n">
        <f aca="false">G144+IF(G144&gt;0,StrStep,0)+H144</f>
        <v>7</v>
      </c>
      <c r="O144" s="64" t="str">
        <f aca="true">OFFSET(ActionDice,N144,0)</f>
        <v>d12</v>
      </c>
      <c r="P144" s="64"/>
      <c r="Q144" s="66" t="str">
        <f aca="false">IF(L144&gt;IF(I144="- / - / -",RaceWeaponMissile,RaceWeapon2H),"Too large",IF(L144&gt;RaceWeapon1H,"Two-handed",IF(L144&lt;RaceWeaponMin,"Too small","-")))</f>
        <v>-</v>
      </c>
      <c r="R144" s="66"/>
      <c r="T144" s="166" t="s">
        <v>422</v>
      </c>
      <c r="U144" s="67"/>
      <c r="V144" s="67"/>
      <c r="W144" s="65" t="n">
        <v>0</v>
      </c>
      <c r="X144" s="65" t="n">
        <v>0</v>
      </c>
      <c r="Y144" s="64" t="s">
        <v>255</v>
      </c>
      <c r="Z144" s="65"/>
      <c r="AA144" s="88"/>
      <c r="AC144" s="56"/>
      <c r="AD144" s="56"/>
      <c r="AE144" s="56"/>
      <c r="AF144" s="56"/>
      <c r="AG144" s="42"/>
      <c r="AH144" s="42"/>
      <c r="AI144" s="42"/>
      <c r="AJ144" s="42"/>
      <c r="AK144" s="181"/>
      <c r="AL144" s="181"/>
      <c r="AM144" s="42"/>
      <c r="AN144" s="42"/>
      <c r="AO144" s="42"/>
      <c r="AP144" s="42"/>
      <c r="AQ144" s="42"/>
      <c r="AR144" s="42"/>
      <c r="AS144" s="42"/>
      <c r="AT144" s="42"/>
      <c r="CN144" s="32"/>
      <c r="CO144" s="32"/>
    </row>
    <row r="145" customFormat="false" ht="12.75" hidden="false" customHeight="false" outlineLevel="0" collapsed="false">
      <c r="B145" s="176" t="s">
        <v>423</v>
      </c>
      <c r="C145" s="177"/>
      <c r="D145" s="177"/>
      <c r="E145" s="65"/>
      <c r="F145" s="64" t="n">
        <v>20</v>
      </c>
      <c r="G145" s="64" t="n">
        <v>5</v>
      </c>
      <c r="H145" s="65"/>
      <c r="I145" s="64" t="s">
        <v>345</v>
      </c>
      <c r="J145" s="64"/>
      <c r="K145" s="64" t="s">
        <v>352</v>
      </c>
      <c r="L145" s="64" t="n">
        <v>3</v>
      </c>
      <c r="M145" s="64" t="n">
        <v>4</v>
      </c>
      <c r="N145" s="64" t="n">
        <f aca="false">G145+IF(G145&gt;0,StrStep,0)+H145</f>
        <v>11</v>
      </c>
      <c r="O145" s="64" t="str">
        <f aca="true">OFFSET(ActionDice,N145,0)</f>
        <v>d10 + d8</v>
      </c>
      <c r="P145" s="64"/>
      <c r="Q145" s="66" t="str">
        <f aca="false">IF(L145&gt;IF(I145="- / - / -",RaceWeaponMissile,RaceWeapon2H),"Too large",IF(L145&gt;RaceWeapon1H,"Two-handed",IF(L145&lt;RaceWeaponMin,"Too small","-")))</f>
        <v>-</v>
      </c>
      <c r="R145" s="66"/>
      <c r="T145" s="166" t="s">
        <v>424</v>
      </c>
      <c r="U145" s="67"/>
      <c r="V145" s="67"/>
      <c r="W145" s="65" t="n">
        <v>0</v>
      </c>
      <c r="X145" s="65" t="n">
        <v>0</v>
      </c>
      <c r="Y145" s="64" t="s">
        <v>255</v>
      </c>
      <c r="Z145" s="65"/>
      <c r="AA145" s="88"/>
      <c r="AC145" s="56"/>
      <c r="AD145" s="56"/>
      <c r="AE145" s="56"/>
      <c r="AF145" s="56"/>
      <c r="AG145" s="42"/>
      <c r="AH145" s="42"/>
      <c r="AI145" s="42"/>
      <c r="AJ145" s="42"/>
      <c r="AK145" s="42"/>
      <c r="AL145" s="42"/>
      <c r="AM145" s="42"/>
      <c r="AN145" s="42"/>
      <c r="AO145" s="42"/>
      <c r="AP145" s="42"/>
      <c r="AQ145" s="42"/>
      <c r="AR145" s="42"/>
      <c r="AS145" s="42"/>
      <c r="AT145" s="42"/>
      <c r="CN145" s="32"/>
      <c r="CO145" s="32"/>
    </row>
    <row r="146" customFormat="false" ht="12.75" hidden="false" customHeight="false" outlineLevel="0" collapsed="false">
      <c r="B146" s="176" t="s">
        <v>425</v>
      </c>
      <c r="C146" s="177"/>
      <c r="D146" s="177"/>
      <c r="E146" s="65"/>
      <c r="F146" s="64" t="n">
        <v>16</v>
      </c>
      <c r="G146" s="64" t="n">
        <v>4</v>
      </c>
      <c r="H146" s="65"/>
      <c r="I146" s="64" t="s">
        <v>345</v>
      </c>
      <c r="J146" s="64"/>
      <c r="K146" s="64" t="s">
        <v>385</v>
      </c>
      <c r="L146" s="64" t="n">
        <v>2</v>
      </c>
      <c r="M146" s="64" t="n">
        <v>3</v>
      </c>
      <c r="N146" s="64" t="n">
        <f aca="false">G146+IF(G146&gt;0,StrStep,0)+H146</f>
        <v>10</v>
      </c>
      <c r="O146" s="64" t="str">
        <f aca="true">OFFSET(ActionDice,N146,0)</f>
        <v>2d8</v>
      </c>
      <c r="P146" s="64"/>
      <c r="Q146" s="66" t="str">
        <f aca="false">IF(L146&gt;IF(I146="- / - / -",RaceWeaponMissile,RaceWeapon2H),"Too large",IF(L146&gt;RaceWeapon1H,"Two-handed",IF(L146&lt;RaceWeaponMin,"Too small","-")))</f>
        <v>-</v>
      </c>
      <c r="R146" s="66"/>
      <c r="T146" s="166" t="s">
        <v>426</v>
      </c>
      <c r="U146" s="67"/>
      <c r="V146" s="67"/>
      <c r="W146" s="65" t="n">
        <v>0</v>
      </c>
      <c r="X146" s="65" t="n">
        <v>0</v>
      </c>
      <c r="Y146" s="64" t="s">
        <v>270</v>
      </c>
      <c r="Z146" s="65"/>
      <c r="AA146" s="88"/>
      <c r="AC146" s="56"/>
      <c r="AD146" s="56"/>
      <c r="AE146" s="56"/>
      <c r="AF146" s="56"/>
      <c r="AG146" s="42"/>
      <c r="AH146" s="42"/>
      <c r="AI146" s="42"/>
      <c r="AJ146" s="42"/>
      <c r="AK146" s="181"/>
      <c r="AL146" s="181"/>
      <c r="AM146" s="42"/>
      <c r="AN146" s="42"/>
      <c r="AO146" s="42"/>
      <c r="AP146" s="42"/>
      <c r="AQ146" s="42"/>
      <c r="AR146" s="42"/>
      <c r="AS146" s="42"/>
      <c r="AT146" s="42"/>
      <c r="CN146" s="32"/>
      <c r="CO146" s="32"/>
    </row>
    <row r="147" customFormat="false" ht="12.75" hidden="false" customHeight="false" outlineLevel="0" collapsed="false">
      <c r="B147" s="176" t="s">
        <v>427</v>
      </c>
      <c r="C147" s="177"/>
      <c r="D147" s="177"/>
      <c r="E147" s="65"/>
      <c r="F147" s="64" t="n">
        <v>40</v>
      </c>
      <c r="G147" s="64" t="n">
        <v>6</v>
      </c>
      <c r="H147" s="65"/>
      <c r="I147" s="64" t="s">
        <v>345</v>
      </c>
      <c r="J147" s="64"/>
      <c r="K147" s="64" t="s">
        <v>428</v>
      </c>
      <c r="L147" s="64" t="n">
        <v>5</v>
      </c>
      <c r="M147" s="64" t="n">
        <v>6</v>
      </c>
      <c r="N147" s="64" t="n">
        <f aca="false">G147+IF(G147&gt;0,StrStep,0)+H147</f>
        <v>12</v>
      </c>
      <c r="O147" s="64" t="str">
        <f aca="true">OFFSET(ActionDice,N147,0)</f>
        <v>2d10</v>
      </c>
      <c r="P147" s="64"/>
      <c r="Q147" s="66" t="str">
        <f aca="false">IF(L147&gt;IF(I147="- / - / -",RaceWeaponMissile,RaceWeapon2H),"Too large",IF(L147&gt;RaceWeapon1H,"Two-handed",IF(L147&lt;RaceWeaponMin,"Too small","-")))</f>
        <v>Two-handed</v>
      </c>
      <c r="R147" s="66"/>
      <c r="T147" s="166" t="s">
        <v>429</v>
      </c>
      <c r="U147" s="67"/>
      <c r="V147" s="67"/>
      <c r="W147" s="65" t="n">
        <v>0</v>
      </c>
      <c r="X147" s="65" t="n">
        <v>0</v>
      </c>
      <c r="Y147" s="64" t="s">
        <v>255</v>
      </c>
      <c r="Z147" s="65"/>
      <c r="AA147" s="88"/>
      <c r="AC147" s="56"/>
      <c r="AD147" s="56"/>
      <c r="AE147" s="56"/>
      <c r="AF147" s="56"/>
      <c r="AG147" s="42"/>
      <c r="AH147" s="42"/>
      <c r="AI147" s="42"/>
      <c r="AJ147" s="42"/>
      <c r="AK147" s="42"/>
      <c r="AL147" s="42"/>
      <c r="AM147" s="42"/>
      <c r="AN147" s="42"/>
      <c r="AO147" s="42"/>
      <c r="AP147" s="42"/>
      <c r="AQ147" s="42"/>
      <c r="AR147" s="42"/>
      <c r="AS147" s="42"/>
      <c r="AT147" s="42"/>
      <c r="CN147" s="32"/>
      <c r="CO147" s="32"/>
    </row>
    <row r="148" customFormat="false" ht="12.75" hidden="false" customHeight="false" outlineLevel="0" collapsed="false">
      <c r="B148" s="176" t="s">
        <v>430</v>
      </c>
      <c r="C148" s="177"/>
      <c r="D148" s="177"/>
      <c r="E148" s="65"/>
      <c r="F148" s="64" t="n">
        <v>15</v>
      </c>
      <c r="G148" s="64" t="n">
        <v>5</v>
      </c>
      <c r="H148" s="65"/>
      <c r="I148" s="64" t="s">
        <v>345</v>
      </c>
      <c r="J148" s="64"/>
      <c r="K148" s="64" t="s">
        <v>349</v>
      </c>
      <c r="L148" s="64" t="n">
        <v>5</v>
      </c>
      <c r="M148" s="64" t="n">
        <v>7</v>
      </c>
      <c r="N148" s="64" t="n">
        <f aca="false">G148+IF(G148&gt;0,StrStep,0)+H148</f>
        <v>11</v>
      </c>
      <c r="O148" s="64" t="str">
        <f aca="true">OFFSET(ActionDice,N148,0)</f>
        <v>d10 + d8</v>
      </c>
      <c r="P148" s="64"/>
      <c r="Q148" s="66" t="str">
        <f aca="false">IF(L148&gt;IF(I148="- / - / -",RaceWeaponMissile,RaceWeapon2H),"Too large",IF(L148&gt;RaceWeapon1H,"Two-handed",IF(L148&lt;RaceWeaponMin,"Too small","-")))</f>
        <v>Two-handed</v>
      </c>
      <c r="R148" s="66"/>
      <c r="T148" s="166" t="s">
        <v>431</v>
      </c>
      <c r="U148" s="67"/>
      <c r="V148" s="67"/>
      <c r="W148" s="65" t="n">
        <v>0</v>
      </c>
      <c r="X148" s="65" t="n">
        <v>0</v>
      </c>
      <c r="Y148" s="182" t="s">
        <v>255</v>
      </c>
      <c r="Z148" s="65"/>
      <c r="AA148" s="88"/>
      <c r="AC148" s="56"/>
      <c r="AD148" s="56"/>
      <c r="AE148" s="56"/>
      <c r="AF148" s="56"/>
      <c r="AG148" s="42"/>
      <c r="AH148" s="42"/>
      <c r="AI148" s="42"/>
      <c r="AJ148" s="42"/>
      <c r="AK148" s="42"/>
      <c r="AL148" s="42"/>
      <c r="AM148" s="42"/>
      <c r="AN148" s="42"/>
      <c r="AO148" s="42"/>
      <c r="AP148" s="42"/>
      <c r="AQ148" s="42"/>
      <c r="AR148" s="42"/>
      <c r="AS148" s="42"/>
      <c r="AT148" s="42"/>
      <c r="CN148" s="32"/>
      <c r="CO148" s="32"/>
    </row>
    <row r="149" customFormat="false" ht="12.75" hidden="false" customHeight="false" outlineLevel="0" collapsed="false">
      <c r="B149" s="176" t="s">
        <v>432</v>
      </c>
      <c r="C149" s="177"/>
      <c r="D149" s="177"/>
      <c r="E149" s="65"/>
      <c r="F149" s="64" t="n">
        <v>40</v>
      </c>
      <c r="G149" s="64" t="n">
        <v>6</v>
      </c>
      <c r="H149" s="65"/>
      <c r="I149" s="64" t="s">
        <v>345</v>
      </c>
      <c r="J149" s="64"/>
      <c r="K149" s="64" t="s">
        <v>349</v>
      </c>
      <c r="L149" s="64" t="n">
        <v>4</v>
      </c>
      <c r="M149" s="64" t="n">
        <v>7</v>
      </c>
      <c r="N149" s="64" t="n">
        <f aca="false">G149+IF(G149&gt;0,StrStep,0)+H149</f>
        <v>12</v>
      </c>
      <c r="O149" s="64" t="str">
        <f aca="true">OFFSET(ActionDice,N149,0)</f>
        <v>2d10</v>
      </c>
      <c r="P149" s="64"/>
      <c r="Q149" s="64" t="str">
        <f aca="false">IF(L149&gt;IF(I149="- / - / -",RaceWeaponMissile,RaceWeapon2H),"Too large",IF(L149&gt;RaceWeapon1H,"Two-handed",IF(L149&lt;RaceWeaponMin,"Too small","-")))</f>
        <v>Two-handed</v>
      </c>
      <c r="R149" s="66"/>
      <c r="T149" s="166" t="s">
        <v>433</v>
      </c>
      <c r="U149" s="67"/>
      <c r="V149" s="67"/>
      <c r="W149" s="65" t="n">
        <v>0</v>
      </c>
      <c r="X149" s="65" t="n">
        <v>1</v>
      </c>
      <c r="Y149" s="64" t="s">
        <v>253</v>
      </c>
      <c r="Z149" s="65" t="s">
        <v>434</v>
      </c>
      <c r="AA149" s="88"/>
      <c r="AC149" s="56"/>
      <c r="AD149" s="56"/>
      <c r="AE149" s="56"/>
      <c r="AF149" s="56"/>
      <c r="AG149" s="42"/>
      <c r="AH149" s="42"/>
      <c r="AI149" s="42"/>
      <c r="AJ149" s="42"/>
      <c r="AK149" s="42"/>
      <c r="AL149" s="42"/>
      <c r="AM149" s="42"/>
      <c r="AN149" s="42"/>
      <c r="AO149" s="42"/>
      <c r="AP149" s="42"/>
      <c r="AQ149" s="42"/>
      <c r="AR149" s="42"/>
      <c r="AS149" s="42"/>
      <c r="AT149" s="42"/>
      <c r="CN149" s="32"/>
      <c r="CO149" s="32"/>
    </row>
    <row r="150" customFormat="false" ht="12.75" hidden="false" customHeight="false" outlineLevel="0" collapsed="false">
      <c r="B150" s="176" t="s">
        <v>435</v>
      </c>
      <c r="C150" s="177"/>
      <c r="D150" s="177"/>
      <c r="E150" s="65"/>
      <c r="F150" s="64" t="n">
        <v>500</v>
      </c>
      <c r="G150" s="64" t="n">
        <v>8</v>
      </c>
      <c r="H150" s="65"/>
      <c r="I150" s="64" t="s">
        <v>345</v>
      </c>
      <c r="J150" s="64"/>
      <c r="K150" s="64" t="s">
        <v>436</v>
      </c>
      <c r="L150" s="64" t="n">
        <v>7</v>
      </c>
      <c r="M150" s="64" t="n">
        <v>13</v>
      </c>
      <c r="N150" s="64" t="n">
        <f aca="false">G150+IF(G150&gt;0,StrStep,0)+H150</f>
        <v>14</v>
      </c>
      <c r="O150" s="64" t="str">
        <f aca="true">OFFSET(ActionDice,N150,0)</f>
        <v>2d12</v>
      </c>
      <c r="P150" s="64"/>
      <c r="Q150" s="64" t="str">
        <f aca="false">IF(L150&gt;IF(I150="- / - / -",RaceWeaponMissile,RaceWeapon2H),"Too large",IF(L150&gt;RaceWeapon1H,"Two-handed",IF(L150&lt;RaceWeaponMin,"Too small","-")))</f>
        <v>Too large</v>
      </c>
      <c r="R150" s="66"/>
      <c r="T150" s="183" t="s">
        <v>437</v>
      </c>
      <c r="U150" s="67"/>
      <c r="V150" s="67"/>
      <c r="W150" s="65" t="n">
        <v>0</v>
      </c>
      <c r="X150" s="65" t="n">
        <v>0</v>
      </c>
      <c r="Y150" s="64" t="s">
        <v>270</v>
      </c>
      <c r="Z150" s="65"/>
      <c r="AA150" s="88"/>
      <c r="AC150" s="56"/>
      <c r="AD150" s="56"/>
      <c r="AE150" s="56"/>
      <c r="AF150" s="56"/>
      <c r="AG150" s="42"/>
      <c r="AH150" s="42"/>
      <c r="AI150" s="42"/>
      <c r="AJ150" s="42"/>
      <c r="AK150" s="42"/>
      <c r="AL150" s="42"/>
      <c r="AM150" s="42"/>
      <c r="AN150" s="42"/>
      <c r="AO150" s="42"/>
      <c r="AP150" s="42"/>
      <c r="AQ150" s="42"/>
      <c r="AR150" s="42"/>
      <c r="AS150" s="42"/>
      <c r="AT150" s="42"/>
      <c r="CN150" s="32"/>
      <c r="CO150" s="32"/>
    </row>
    <row r="151" customFormat="false" ht="12.75" hidden="false" customHeight="false" outlineLevel="0" collapsed="false">
      <c r="B151" s="176" t="s">
        <v>438</v>
      </c>
      <c r="C151" s="177"/>
      <c r="D151" s="177"/>
      <c r="E151" s="65"/>
      <c r="F151" s="64" t="n">
        <v>25</v>
      </c>
      <c r="G151" s="64" t="n">
        <v>5</v>
      </c>
      <c r="H151" s="65"/>
      <c r="I151" s="64" t="s">
        <v>345</v>
      </c>
      <c r="J151" s="64"/>
      <c r="K151" s="64" t="s">
        <v>375</v>
      </c>
      <c r="L151" s="64" t="n">
        <v>4</v>
      </c>
      <c r="M151" s="64" t="n">
        <v>4</v>
      </c>
      <c r="N151" s="64" t="n">
        <f aca="false">G151+IF(G151&gt;0,StrStep,0)+H151</f>
        <v>11</v>
      </c>
      <c r="O151" s="64" t="str">
        <f aca="true">OFFSET(ActionDice,N151,0)</f>
        <v>d10 + d8</v>
      </c>
      <c r="P151" s="64"/>
      <c r="Q151" s="64" t="str">
        <f aca="false">IF(L151&gt;IF(I151="- / - / -",RaceWeaponMissile,RaceWeapon2H),"Too large",IF(L151&gt;RaceWeapon1H,"Two-handed",IF(L151&lt;RaceWeaponMin,"Too small","-")))</f>
        <v>Two-handed</v>
      </c>
      <c r="R151" s="66"/>
      <c r="T151" s="183"/>
      <c r="U151" s="67"/>
      <c r="V151" s="67"/>
      <c r="W151" s="65"/>
      <c r="X151" s="65"/>
      <c r="Y151" s="64"/>
      <c r="Z151" s="65"/>
      <c r="AA151" s="88"/>
      <c r="AC151" s="56"/>
      <c r="AD151" s="56"/>
      <c r="AE151" s="56"/>
      <c r="AF151" s="56"/>
      <c r="AG151" s="42"/>
      <c r="AH151" s="42"/>
      <c r="AI151" s="42"/>
      <c r="AJ151" s="42"/>
      <c r="AK151" s="42"/>
      <c r="AL151" s="42"/>
      <c r="AM151" s="42"/>
      <c r="AN151" s="42"/>
      <c r="AO151" s="42"/>
      <c r="AP151" s="42"/>
      <c r="AQ151" s="42"/>
      <c r="AR151" s="42"/>
      <c r="AS151" s="42"/>
      <c r="AT151" s="42"/>
      <c r="CN151" s="32"/>
      <c r="CO151" s="32"/>
    </row>
    <row r="152" customFormat="false" ht="12.75" hidden="false" customHeight="false" outlineLevel="0" collapsed="false">
      <c r="B152" s="176" t="s">
        <v>439</v>
      </c>
      <c r="C152" s="177"/>
      <c r="D152" s="177"/>
      <c r="E152" s="65"/>
      <c r="F152" s="64" t="n">
        <v>45</v>
      </c>
      <c r="G152" s="64" t="n">
        <v>8</v>
      </c>
      <c r="H152" s="65"/>
      <c r="I152" s="64" t="s">
        <v>345</v>
      </c>
      <c r="J152" s="64"/>
      <c r="K152" s="64" t="s">
        <v>440</v>
      </c>
      <c r="L152" s="64" t="n">
        <v>6</v>
      </c>
      <c r="M152" s="64" t="n">
        <v>8</v>
      </c>
      <c r="N152" s="64" t="n">
        <f aca="false">G152+IF(G152&gt;0,StrStep,0)+H152</f>
        <v>14</v>
      </c>
      <c r="O152" s="64" t="str">
        <f aca="true">OFFSET(ActionDice,N152,0)</f>
        <v>2d12</v>
      </c>
      <c r="P152" s="64"/>
      <c r="Q152" s="64" t="str">
        <f aca="false">IF(L152&gt;IF(I152="- / - / -",RaceWeaponMissile,RaceWeapon2H),"Too large",IF(L152&gt;RaceWeapon1H,"Two-handed",IF(L152&lt;RaceWeaponMin,"Too small","-")))</f>
        <v>Two-handed</v>
      </c>
      <c r="R152" s="66"/>
      <c r="T152" s="166"/>
      <c r="U152" s="67"/>
      <c r="V152" s="67"/>
      <c r="W152" s="65"/>
      <c r="X152" s="65"/>
      <c r="Y152" s="64"/>
      <c r="Z152" s="65"/>
      <c r="AA152" s="88"/>
      <c r="AC152" s="56"/>
      <c r="AD152" s="56"/>
      <c r="AE152" s="56"/>
      <c r="AF152" s="56"/>
      <c r="AG152" s="42"/>
      <c r="AH152" s="42"/>
      <c r="AI152" s="42"/>
      <c r="AJ152" s="42"/>
      <c r="AK152" s="42"/>
      <c r="AL152" s="42"/>
      <c r="AM152" s="42"/>
      <c r="AN152" s="42"/>
      <c r="AO152" s="42"/>
      <c r="AP152" s="42"/>
      <c r="AQ152" s="42"/>
      <c r="AR152" s="42"/>
      <c r="AS152" s="42"/>
      <c r="AT152" s="42"/>
      <c r="CN152" s="32"/>
      <c r="CO152" s="32"/>
    </row>
    <row r="153" customFormat="false" ht="12.75" hidden="false" customHeight="false" outlineLevel="0" collapsed="false">
      <c r="B153" s="176" t="s">
        <v>441</v>
      </c>
      <c r="C153" s="177"/>
      <c r="D153" s="177"/>
      <c r="E153" s="65"/>
      <c r="F153" s="64" t="n">
        <v>50</v>
      </c>
      <c r="G153" s="64" t="n">
        <v>6</v>
      </c>
      <c r="H153" s="65"/>
      <c r="I153" s="64" t="s">
        <v>345</v>
      </c>
      <c r="J153" s="64"/>
      <c r="K153" s="64" t="s">
        <v>349</v>
      </c>
      <c r="L153" s="64" t="n">
        <v>4</v>
      </c>
      <c r="M153" s="64" t="n">
        <v>6</v>
      </c>
      <c r="N153" s="64" t="n">
        <f aca="false">G153+IF(G153&gt;0,StrStep,0)+H153</f>
        <v>12</v>
      </c>
      <c r="O153" s="64" t="str">
        <f aca="true">OFFSET(ActionDice,N153,0)</f>
        <v>2d10</v>
      </c>
      <c r="P153" s="64"/>
      <c r="Q153" s="64" t="str">
        <f aca="false">IF(L153&gt;IF(I153="- / - / -",RaceWeaponMissile,RaceWeapon2H),"Too large",IF(L153&gt;RaceWeapon1H,"Two-handed",IF(L153&lt;RaceWeaponMin,"Too small","-")))</f>
        <v>Two-handed</v>
      </c>
      <c r="R153" s="66"/>
      <c r="T153" s="166"/>
      <c r="U153" s="67"/>
      <c r="V153" s="67"/>
      <c r="W153" s="65"/>
      <c r="X153" s="65"/>
      <c r="Y153" s="64"/>
      <c r="Z153" s="65"/>
      <c r="AA153" s="88"/>
      <c r="AC153" s="56"/>
      <c r="AD153" s="56"/>
      <c r="AE153" s="56"/>
      <c r="AF153" s="56"/>
      <c r="AG153" s="42"/>
      <c r="AH153" s="42"/>
      <c r="AI153" s="42"/>
      <c r="AJ153" s="42"/>
      <c r="AK153" s="42"/>
      <c r="AL153" s="42"/>
      <c r="AM153" s="42"/>
      <c r="AN153" s="42"/>
      <c r="AO153" s="42"/>
      <c r="AP153" s="42"/>
      <c r="AQ153" s="42"/>
      <c r="AR153" s="42"/>
      <c r="AS153" s="42"/>
      <c r="AT153" s="42"/>
      <c r="CN153" s="32"/>
      <c r="CO153" s="32"/>
    </row>
    <row r="154" customFormat="false" ht="12.75" hidden="false" customHeight="false" outlineLevel="0" collapsed="false">
      <c r="B154" s="176" t="s">
        <v>442</v>
      </c>
      <c r="C154" s="177"/>
      <c r="D154" s="177"/>
      <c r="E154" s="65"/>
      <c r="F154" s="64" t="n">
        <v>125</v>
      </c>
      <c r="G154" s="64" t="n">
        <v>8</v>
      </c>
      <c r="H154" s="65"/>
      <c r="I154" s="64" t="s">
        <v>345</v>
      </c>
      <c r="J154" s="64"/>
      <c r="K154" s="64" t="s">
        <v>358</v>
      </c>
      <c r="L154" s="64" t="n">
        <v>6</v>
      </c>
      <c r="M154" s="64" t="n">
        <v>7</v>
      </c>
      <c r="N154" s="64" t="n">
        <f aca="false">G154+IF(G154&gt;0,StrStep,0)+H154</f>
        <v>14</v>
      </c>
      <c r="O154" s="64" t="str">
        <f aca="true">OFFSET(ActionDice,N154,0)</f>
        <v>2d12</v>
      </c>
      <c r="P154" s="64"/>
      <c r="Q154" s="64" t="str">
        <f aca="false">IF(L154&gt;IF(I154="- / - / -",RaceWeaponMissile,RaceWeapon2H),"Too large",IF(L154&gt;RaceWeapon1H,"Two-handed",IF(L154&lt;RaceWeaponMin,"Too small","-")))</f>
        <v>Two-handed</v>
      </c>
      <c r="R154" s="66"/>
      <c r="T154" s="166"/>
      <c r="U154" s="67"/>
      <c r="V154" s="67"/>
      <c r="W154" s="65"/>
      <c r="X154" s="65"/>
      <c r="Y154" s="64"/>
      <c r="Z154" s="65"/>
      <c r="AA154" s="88"/>
      <c r="AC154" s="56"/>
      <c r="AD154" s="56"/>
      <c r="AE154" s="56"/>
      <c r="AF154" s="56"/>
      <c r="AG154" s="42"/>
      <c r="AH154" s="42"/>
      <c r="AI154" s="42"/>
      <c r="AJ154" s="42"/>
      <c r="AK154" s="42"/>
      <c r="AL154" s="42"/>
      <c r="AM154" s="42"/>
      <c r="AN154" s="42"/>
      <c r="AO154" s="42"/>
      <c r="AP154" s="42"/>
      <c r="AQ154" s="42"/>
      <c r="AR154" s="42"/>
      <c r="AS154" s="42"/>
      <c r="AT154" s="42"/>
      <c r="CN154" s="32"/>
      <c r="CO154" s="32"/>
    </row>
    <row r="155" customFormat="false" ht="12.75" hidden="false" customHeight="false" outlineLevel="0" collapsed="false">
      <c r="B155" s="176" t="s">
        <v>443</v>
      </c>
      <c r="C155" s="177"/>
      <c r="D155" s="177"/>
      <c r="E155" s="65"/>
      <c r="F155" s="64" t="n">
        <v>95</v>
      </c>
      <c r="G155" s="64" t="n">
        <v>7</v>
      </c>
      <c r="H155" s="65"/>
      <c r="I155" s="64" t="s">
        <v>345</v>
      </c>
      <c r="J155" s="64"/>
      <c r="K155" s="64" t="s">
        <v>358</v>
      </c>
      <c r="L155" s="64" t="n">
        <v>5</v>
      </c>
      <c r="M155" s="64" t="n">
        <v>8</v>
      </c>
      <c r="N155" s="64" t="n">
        <f aca="false">G155+IF(G155&gt;0,StrStep,0)+H155</f>
        <v>13</v>
      </c>
      <c r="O155" s="64" t="str">
        <f aca="true">OFFSET(ActionDice,N155,0)</f>
        <v>d12+d10</v>
      </c>
      <c r="P155" s="64"/>
      <c r="Q155" s="64" t="str">
        <f aca="false">IF(L155&gt;IF(I155="- / - / -",RaceWeaponMissile,RaceWeapon2H),"Too large",IF(L155&gt;RaceWeapon1H,"Two-handed",IF(L155&lt;RaceWeaponMin,"Too small","-")))</f>
        <v>Two-handed</v>
      </c>
      <c r="R155" s="66"/>
      <c r="T155" s="166"/>
      <c r="U155" s="67"/>
      <c r="V155" s="67"/>
      <c r="W155" s="65"/>
      <c r="X155" s="65"/>
      <c r="Y155" s="182"/>
      <c r="Z155" s="65"/>
      <c r="AA155" s="88"/>
      <c r="AC155" s="56"/>
      <c r="AD155" s="56"/>
      <c r="AE155" s="56"/>
      <c r="AF155" s="56"/>
      <c r="AG155" s="42"/>
      <c r="AH155" s="42"/>
      <c r="AI155" s="42"/>
      <c r="AJ155" s="42"/>
      <c r="AK155" s="42"/>
      <c r="AL155" s="42"/>
      <c r="AM155" s="42"/>
      <c r="AN155" s="42"/>
      <c r="AO155" s="42"/>
      <c r="AP155" s="42"/>
      <c r="AQ155" s="42"/>
      <c r="AR155" s="42"/>
      <c r="AS155" s="42"/>
      <c r="AT155" s="42"/>
      <c r="CN155" s="32"/>
      <c r="CO155" s="32"/>
    </row>
    <row r="156" customFormat="false" ht="12.75" hidden="false" customHeight="false" outlineLevel="0" collapsed="false">
      <c r="B156" s="176" t="s">
        <v>444</v>
      </c>
      <c r="C156" s="177"/>
      <c r="D156" s="177"/>
      <c r="E156" s="65"/>
      <c r="F156" s="64" t="n">
        <v>10</v>
      </c>
      <c r="G156" s="64" t="n">
        <v>3</v>
      </c>
      <c r="H156" s="65"/>
      <c r="I156" s="64" t="s">
        <v>345</v>
      </c>
      <c r="J156" s="64"/>
      <c r="K156" s="64" t="s">
        <v>445</v>
      </c>
      <c r="L156" s="64" t="n">
        <v>3</v>
      </c>
      <c r="M156" s="64" t="n">
        <v>2</v>
      </c>
      <c r="N156" s="64" t="n">
        <f aca="false">G156+IF(G156&gt;0,StrStep,0)+H156</f>
        <v>9</v>
      </c>
      <c r="O156" s="64" t="str">
        <f aca="true">OFFSET(ActionDice,N156,0)</f>
        <v>d8+d6</v>
      </c>
      <c r="P156" s="64"/>
      <c r="Q156" s="64" t="str">
        <f aca="false">IF(L156&gt;IF(I156="- / - / -",RaceWeaponMissile,RaceWeapon2H),"Too large",IF(L156&gt;RaceWeapon1H,"Two-handed",IF(L156&lt;RaceWeaponMin,"Too small","-")))</f>
        <v>-</v>
      </c>
      <c r="R156" s="66"/>
      <c r="T156" s="166"/>
      <c r="U156" s="67"/>
      <c r="V156" s="67"/>
      <c r="W156" s="65"/>
      <c r="X156" s="65"/>
      <c r="Y156" s="64"/>
      <c r="Z156" s="65"/>
      <c r="AA156" s="88"/>
      <c r="AC156" s="56"/>
      <c r="AD156" s="56"/>
      <c r="AE156" s="56"/>
      <c r="AF156" s="56"/>
      <c r="AG156" s="42"/>
      <c r="AH156" s="42"/>
      <c r="AI156" s="42"/>
      <c r="AJ156" s="42"/>
      <c r="AK156" s="42"/>
      <c r="AL156" s="42"/>
      <c r="AM156" s="42"/>
      <c r="AN156" s="42"/>
      <c r="AO156" s="42"/>
      <c r="AP156" s="42"/>
      <c r="AQ156" s="42"/>
      <c r="AR156" s="42"/>
      <c r="AS156" s="42"/>
      <c r="AT156" s="42"/>
      <c r="CN156" s="32"/>
      <c r="CO156" s="32"/>
    </row>
    <row r="157" customFormat="false" ht="12.75" hidden="false" customHeight="false" outlineLevel="0" collapsed="false">
      <c r="B157" s="176" t="s">
        <v>446</v>
      </c>
      <c r="C157" s="177"/>
      <c r="D157" s="177"/>
      <c r="E157" s="65"/>
      <c r="F157" s="64" t="n">
        <v>55</v>
      </c>
      <c r="G157" s="64" t="n">
        <v>4</v>
      </c>
      <c r="H157" s="65"/>
      <c r="I157" s="64" t="s">
        <v>345</v>
      </c>
      <c r="J157" s="64"/>
      <c r="K157" s="64" t="s">
        <v>366</v>
      </c>
      <c r="L157" s="64" t="n">
        <v>2</v>
      </c>
      <c r="M157" s="64" t="n">
        <v>2</v>
      </c>
      <c r="N157" s="64" t="n">
        <f aca="false">G157+IF(G157&gt;0,StrStep,0)+H157</f>
        <v>10</v>
      </c>
      <c r="O157" s="64" t="str">
        <f aca="true">OFFSET(ActionDice,N157,0)</f>
        <v>2d8</v>
      </c>
      <c r="P157" s="64"/>
      <c r="Q157" s="64" t="str">
        <f aca="false">IF(L157&gt;IF(I157="- / - / -",RaceWeaponMissile,RaceWeapon2H),"Too large",IF(L157&gt;RaceWeapon1H,"Two-handed",IF(L157&lt;RaceWeaponMin,"Too small","-")))</f>
        <v>-</v>
      </c>
      <c r="R157" s="66"/>
      <c r="T157" s="183"/>
      <c r="U157" s="184"/>
      <c r="V157" s="184"/>
      <c r="W157" s="65"/>
      <c r="X157" s="65"/>
      <c r="Y157" s="64"/>
      <c r="Z157" s="65"/>
      <c r="AA157" s="88"/>
      <c r="CN157" s="32"/>
      <c r="CO157" s="32"/>
    </row>
    <row r="158" customFormat="false" ht="12.75" hidden="false" customHeight="false" outlineLevel="0" collapsed="false">
      <c r="B158" s="176" t="s">
        <v>447</v>
      </c>
      <c r="C158" s="177"/>
      <c r="D158" s="177"/>
      <c r="E158" s="65"/>
      <c r="F158" s="64" t="n">
        <v>25</v>
      </c>
      <c r="G158" s="64" t="n">
        <v>2</v>
      </c>
      <c r="H158" s="65"/>
      <c r="I158" s="178" t="s">
        <v>388</v>
      </c>
      <c r="J158" s="64"/>
      <c r="K158" s="64" t="s">
        <v>372</v>
      </c>
      <c r="L158" s="64" t="n">
        <v>1</v>
      </c>
      <c r="M158" s="64" t="n">
        <v>0.5</v>
      </c>
      <c r="N158" s="64" t="n">
        <f aca="false">G158+IF(G158&gt;0,StrStep,0)+H158</f>
        <v>8</v>
      </c>
      <c r="O158" s="64" t="str">
        <f aca="true">OFFSET(ActionDice,N158,0)</f>
        <v>2d6</v>
      </c>
      <c r="P158" s="64"/>
      <c r="Q158" s="64" t="str">
        <f aca="false">IF(L158&gt;IF(I158="- / - / -",RaceWeaponMissile,RaceWeapon2H),"Too large",IF(L158&gt;RaceWeapon1H,"Two-handed",IF(L158&lt;RaceWeaponMin,"Too small","-")))</f>
        <v>-</v>
      </c>
      <c r="R158" s="66"/>
      <c r="T158" s="183"/>
      <c r="U158" s="184"/>
      <c r="V158" s="184"/>
      <c r="W158" s="65"/>
      <c r="X158" s="65"/>
      <c r="Y158" s="64"/>
      <c r="Z158" s="185"/>
      <c r="AA158" s="185"/>
      <c r="CN158" s="32"/>
      <c r="CO158" s="32"/>
    </row>
    <row r="159" customFormat="false" ht="12.75" hidden="false" customHeight="false" outlineLevel="0" collapsed="false">
      <c r="B159" s="176" t="s">
        <v>448</v>
      </c>
      <c r="C159" s="177"/>
      <c r="D159" s="177"/>
      <c r="E159" s="65"/>
      <c r="F159" s="64" t="n">
        <v>45</v>
      </c>
      <c r="G159" s="64" t="n">
        <v>3</v>
      </c>
      <c r="H159" s="65"/>
      <c r="I159" s="64" t="s">
        <v>345</v>
      </c>
      <c r="J159" s="64"/>
      <c r="K159" s="64" t="s">
        <v>406</v>
      </c>
      <c r="L159" s="64" t="n">
        <v>1</v>
      </c>
      <c r="M159" s="64" t="n">
        <v>1</v>
      </c>
      <c r="N159" s="64" t="n">
        <f aca="false">G159+IF(G159&gt;0,StrStep,0)+H159</f>
        <v>9</v>
      </c>
      <c r="O159" s="64" t="str">
        <f aca="true">OFFSET(ActionDice,N159,0)</f>
        <v>d8+d6</v>
      </c>
      <c r="P159" s="64"/>
      <c r="Q159" s="64" t="str">
        <f aca="false">IF(L159&gt;IF(I159="- / - / -",RaceWeaponMissile,RaceWeapon2H),"Too large",IF(L159&gt;RaceWeapon1H,"Two-handed",IF(L159&lt;RaceWeaponMin,"Too small","-")))</f>
        <v>-</v>
      </c>
      <c r="R159" s="66"/>
      <c r="T159" s="183"/>
      <c r="U159" s="184"/>
      <c r="V159" s="184"/>
      <c r="W159" s="65"/>
      <c r="X159" s="65"/>
      <c r="Y159" s="64"/>
      <c r="Z159" s="185"/>
      <c r="AA159" s="185"/>
      <c r="CN159" s="32"/>
      <c r="CO159" s="32"/>
    </row>
    <row r="160" customFormat="false" ht="12.75" hidden="false" customHeight="false" outlineLevel="0" collapsed="false">
      <c r="B160" s="166" t="s">
        <v>449</v>
      </c>
      <c r="C160" s="67"/>
      <c r="D160" s="67"/>
      <c r="E160" s="65"/>
      <c r="F160" s="64" t="n">
        <v>30</v>
      </c>
      <c r="G160" s="64" t="n">
        <v>3</v>
      </c>
      <c r="H160" s="86"/>
      <c r="I160" s="64" t="s">
        <v>345</v>
      </c>
      <c r="J160" s="64"/>
      <c r="K160" s="64" t="s">
        <v>355</v>
      </c>
      <c r="L160" s="64" t="n">
        <v>2</v>
      </c>
      <c r="M160" s="64" t="n">
        <v>1</v>
      </c>
      <c r="N160" s="64" t="n">
        <f aca="false">G160+IF(G160&gt;0,StrStep,0)+H160</f>
        <v>9</v>
      </c>
      <c r="O160" s="64" t="str">
        <f aca="true">OFFSET(ActionDice,N160,0)</f>
        <v>d8+d6</v>
      </c>
      <c r="P160" s="64"/>
      <c r="Q160" s="64" t="str">
        <f aca="false">IF(L160&gt;IF(I160="- / - / -",RaceWeaponMissile,RaceWeapon2H),"Too large",IF(L160&gt;RaceWeapon1H,"Two-handed",IF(L160&lt;RaceWeaponMin,"Too small","-")))</f>
        <v>-</v>
      </c>
      <c r="R160" s="66"/>
      <c r="T160" s="166"/>
      <c r="U160" s="166"/>
      <c r="V160" s="166"/>
      <c r="W160" s="65"/>
      <c r="X160" s="65"/>
      <c r="Y160" s="64"/>
      <c r="Z160" s="88"/>
      <c r="AA160" s="88"/>
      <c r="CN160" s="32"/>
      <c r="CO160" s="32"/>
    </row>
    <row r="161" customFormat="false" ht="12.75" hidden="false" customHeight="false" outlineLevel="0" collapsed="false">
      <c r="B161" s="166" t="s">
        <v>450</v>
      </c>
      <c r="C161" s="67"/>
      <c r="D161" s="67"/>
      <c r="E161" s="65" t="s">
        <v>219</v>
      </c>
      <c r="F161" s="64" t="n">
        <v>25</v>
      </c>
      <c r="G161" s="64" t="n">
        <v>10</v>
      </c>
      <c r="H161" s="65"/>
      <c r="I161" s="64" t="s">
        <v>345</v>
      </c>
      <c r="J161" s="64"/>
      <c r="K161" s="64" t="s">
        <v>352</v>
      </c>
      <c r="L161" s="64" t="n">
        <v>3</v>
      </c>
      <c r="M161" s="64" t="n">
        <v>4</v>
      </c>
      <c r="N161" s="64" t="n">
        <f aca="false">G161+IF(G161&gt;0,StrStep,0)+H161</f>
        <v>16</v>
      </c>
      <c r="O161" s="64" t="str">
        <f aca="true">OFFSET(ActionDice,N161,0)</f>
        <v>d12 +d8 + d6</v>
      </c>
      <c r="P161" s="64"/>
      <c r="Q161" s="66" t="str">
        <f aca="false">IF(L161&gt;IF(I161="- / - / -",RaceWeaponMissile,RaceWeapon2H),"Too large",IF(L161&gt;RaceWeapon1H,"Two-handed",IF(L161&lt;RaceWeaponMin,"Too small","-")))</f>
        <v>-</v>
      </c>
      <c r="R161" s="66"/>
      <c r="T161" s="166"/>
      <c r="U161" s="166"/>
      <c r="V161" s="166"/>
      <c r="W161" s="65"/>
      <c r="X161" s="65"/>
      <c r="Y161" s="64"/>
      <c r="Z161" s="88"/>
      <c r="AA161" s="88"/>
      <c r="CN161" s="32"/>
      <c r="CO161" s="32"/>
    </row>
    <row r="162" customFormat="false" ht="12.75" hidden="false" customHeight="false" outlineLevel="0" collapsed="false">
      <c r="B162" s="166"/>
      <c r="C162" s="67"/>
      <c r="D162" s="67"/>
      <c r="E162" s="65"/>
      <c r="F162" s="64"/>
      <c r="G162" s="64"/>
      <c r="H162" s="65"/>
      <c r="I162" s="178"/>
      <c r="J162" s="178"/>
      <c r="K162" s="64"/>
      <c r="L162" s="64"/>
      <c r="M162" s="64"/>
      <c r="N162" s="64" t="n">
        <f aca="false">G162+IF(G162&gt;0,StrStep,0)+H162</f>
        <v>0</v>
      </c>
      <c r="O162" s="64" t="str">
        <f aca="true">OFFSET(ActionDice,N162,0)</f>
        <v>-</v>
      </c>
      <c r="P162" s="64"/>
      <c r="Q162" s="66" t="str">
        <f aca="false">IF(L162&gt;IF(I162="- / - / -",RaceWeaponMissile,RaceWeapon2H),"Too large",IF(L162&gt;RaceWeapon1H,"Two-handed",IF(L162&lt;RaceWeaponMin,"Too small","-")))</f>
        <v>Too small</v>
      </c>
      <c r="R162" s="66"/>
      <c r="T162" s="166"/>
      <c r="U162" s="166"/>
      <c r="V162" s="166"/>
      <c r="W162" s="65"/>
      <c r="X162" s="65"/>
      <c r="Y162" s="64"/>
      <c r="Z162" s="88"/>
      <c r="AA162" s="88"/>
      <c r="CN162" s="32"/>
      <c r="CO162" s="32"/>
    </row>
    <row r="163" customFormat="false" ht="12.75" hidden="false" customHeight="false" outlineLevel="0" collapsed="false">
      <c r="B163" s="176"/>
      <c r="C163" s="177"/>
      <c r="D163" s="177"/>
      <c r="E163" s="65"/>
      <c r="F163" s="64"/>
      <c r="G163" s="64"/>
      <c r="H163" s="65"/>
      <c r="I163" s="186"/>
      <c r="J163" s="178"/>
      <c r="K163" s="64"/>
      <c r="L163" s="64"/>
      <c r="M163" s="64"/>
      <c r="N163" s="64" t="n">
        <f aca="false">G163+IF(G163&gt;0,StrStep,0)+H163</f>
        <v>0</v>
      </c>
      <c r="O163" s="64" t="str">
        <f aca="true">OFFSET(ActionDice,N163,0)</f>
        <v>-</v>
      </c>
      <c r="P163" s="64"/>
      <c r="Q163" s="66" t="str">
        <f aca="false">IF(L163&gt;IF(I163="- / - / -",RaceWeaponMissile,RaceWeapon2H),"Too large",IF(L163&gt;RaceWeapon1H,"Two-handed",IF(L163&lt;RaceWeaponMin,"Too small","-")))</f>
        <v>Too small</v>
      </c>
      <c r="R163" s="66"/>
      <c r="T163" s="166"/>
      <c r="U163" s="166"/>
      <c r="V163" s="166"/>
      <c r="W163" s="65"/>
      <c r="X163" s="65"/>
      <c r="Y163" s="64"/>
      <c r="Z163" s="88"/>
      <c r="AA163" s="88"/>
      <c r="CN163" s="32"/>
      <c r="CO163" s="32"/>
    </row>
    <row r="164" customFormat="false" ht="12.75" hidden="false" customHeight="false" outlineLevel="0" collapsed="false">
      <c r="B164" s="166" t="s">
        <v>451</v>
      </c>
      <c r="C164" s="67"/>
      <c r="D164" s="67"/>
      <c r="E164" s="65"/>
      <c r="F164" s="64" t="n">
        <v>45</v>
      </c>
      <c r="G164" s="64" t="n">
        <v>2</v>
      </c>
      <c r="H164" s="65"/>
      <c r="I164" s="178" t="s">
        <v>388</v>
      </c>
      <c r="J164" s="178"/>
      <c r="K164" s="64" t="s">
        <v>361</v>
      </c>
      <c r="L164" s="64" t="n">
        <v>2</v>
      </c>
      <c r="M164" s="64" t="n">
        <v>2</v>
      </c>
      <c r="N164" s="64" t="n">
        <f aca="false">G164+IF(G164&gt;0,StrStep,0)+H164</f>
        <v>8</v>
      </c>
      <c r="O164" s="64" t="str">
        <f aca="true">OFFSET(ActionDice,N164,0)</f>
        <v>2d6</v>
      </c>
      <c r="P164" s="64"/>
      <c r="Q164" s="66" t="str">
        <f aca="false">IF(L164&gt;IF(I164="- / - / -",RaceWeaponMissile,RaceWeapon2H),"Too large",IF(L164&gt;RaceWeapon1H,"Two-handed",IF(L164&lt;RaceWeaponMin,"Too small","-")))</f>
        <v>-</v>
      </c>
      <c r="R164" s="66"/>
      <c r="T164" s="166"/>
      <c r="U164" s="166"/>
      <c r="V164" s="166"/>
      <c r="W164" s="65"/>
      <c r="X164" s="65"/>
      <c r="Y164" s="64"/>
      <c r="Z164" s="88"/>
      <c r="AA164" s="88"/>
      <c r="CN164" s="32"/>
      <c r="CO164" s="32"/>
    </row>
    <row r="165" customFormat="false" ht="12.75" hidden="false" customHeight="false" outlineLevel="0" collapsed="false">
      <c r="B165" s="176" t="s">
        <v>452</v>
      </c>
      <c r="C165" s="177"/>
      <c r="D165" s="177"/>
      <c r="E165" s="65"/>
      <c r="F165" s="64" t="n">
        <v>2</v>
      </c>
      <c r="G165" s="64" t="n">
        <v>1</v>
      </c>
      <c r="H165" s="65"/>
      <c r="I165" s="186" t="s">
        <v>388</v>
      </c>
      <c r="J165" s="178"/>
      <c r="K165" s="64" t="s">
        <v>389</v>
      </c>
      <c r="L165" s="64" t="n">
        <v>1</v>
      </c>
      <c r="M165" s="64" t="n">
        <v>0.6</v>
      </c>
      <c r="N165" s="64" t="n">
        <f aca="false">G165+IF(G165&gt;0,StrStep,0)+H165</f>
        <v>7</v>
      </c>
      <c r="O165" s="64" t="str">
        <f aca="true">OFFSET(ActionDice,N165,0)</f>
        <v>d12</v>
      </c>
      <c r="P165" s="64"/>
      <c r="Q165" s="66" t="str">
        <f aca="false">IF(L165&gt;IF(I165="- / - / -",RaceWeaponMissile,RaceWeapon2H),"Too large",IF(L165&gt;RaceWeapon1H,"Two-handed",IF(L165&lt;RaceWeaponMin,"Too small","-")))</f>
        <v>-</v>
      </c>
      <c r="R165" s="66"/>
      <c r="T165" s="166"/>
      <c r="U165" s="166"/>
      <c r="V165" s="166"/>
      <c r="W165" s="65"/>
      <c r="X165" s="65"/>
      <c r="Y165" s="64"/>
      <c r="Z165" s="88"/>
      <c r="AA165" s="88"/>
      <c r="CN165" s="32"/>
      <c r="CO165" s="32"/>
    </row>
    <row r="166" customFormat="false" ht="12.75" hidden="false" customHeight="false" outlineLevel="0" collapsed="false">
      <c r="B166" s="176" t="s">
        <v>453</v>
      </c>
      <c r="C166" s="177"/>
      <c r="D166" s="177"/>
      <c r="E166" s="65"/>
      <c r="F166" s="64" t="n">
        <v>10</v>
      </c>
      <c r="G166" s="64" t="n">
        <v>3</v>
      </c>
      <c r="H166" s="65"/>
      <c r="I166" s="186" t="s">
        <v>454</v>
      </c>
      <c r="J166" s="186"/>
      <c r="K166" s="64" t="s">
        <v>455</v>
      </c>
      <c r="L166" s="64" t="n">
        <v>2</v>
      </c>
      <c r="M166" s="64" t="n">
        <v>2</v>
      </c>
      <c r="N166" s="64" t="n">
        <f aca="false">G166+IF(G166&gt;0,StrStep,0)+H166</f>
        <v>9</v>
      </c>
      <c r="O166" s="64" t="str">
        <f aca="true">OFFSET(ActionDice,N166,0)</f>
        <v>d8+d6</v>
      </c>
      <c r="P166" s="64"/>
      <c r="Q166" s="66" t="str">
        <f aca="false">IF(L166&gt;IF(I166="- / - / -",RaceWeaponMissile,RaceWeapon2H),"Too large",IF(L166&gt;RaceWeapon1H,"Two-handed",IF(L166&lt;RaceWeaponMin,"Too small","-")))</f>
        <v>-</v>
      </c>
      <c r="R166" s="66"/>
      <c r="T166" s="166"/>
      <c r="U166" s="166"/>
      <c r="V166" s="166"/>
      <c r="W166" s="65"/>
      <c r="X166" s="65"/>
      <c r="Y166" s="64"/>
      <c r="Z166" s="88"/>
      <c r="AA166" s="88"/>
      <c r="CN166" s="32"/>
      <c r="CO166" s="32"/>
    </row>
    <row r="167" customFormat="false" ht="12.75" hidden="false" customHeight="false" outlineLevel="0" collapsed="false">
      <c r="B167" s="176" t="s">
        <v>456</v>
      </c>
      <c r="C167" s="177"/>
      <c r="D167" s="177"/>
      <c r="E167" s="65"/>
      <c r="F167" s="64" t="n">
        <v>6</v>
      </c>
      <c r="G167" s="64" t="n">
        <v>5</v>
      </c>
      <c r="H167" s="65"/>
      <c r="I167" s="178" t="s">
        <v>457</v>
      </c>
      <c r="J167" s="178"/>
      <c r="K167" s="64" t="s">
        <v>372</v>
      </c>
      <c r="L167" s="64" t="n">
        <v>1</v>
      </c>
      <c r="M167" s="64" t="n">
        <v>1</v>
      </c>
      <c r="N167" s="64" t="n">
        <f aca="false">G167+IF(G167&gt;0,StrStep,0)+H167</f>
        <v>11</v>
      </c>
      <c r="O167" s="64" t="str">
        <f aca="true">OFFSET(ActionDice,N167,0)</f>
        <v>d10 + d8</v>
      </c>
      <c r="P167" s="64"/>
      <c r="Q167" s="66" t="str">
        <f aca="false">IF(L167&gt;IF(I167="- / - / -",RaceWeaponMissile,RaceWeapon2H),"Too large",IF(L167&gt;RaceWeapon1H,"Two-handed",IF(L167&lt;RaceWeaponMin,"Too small","-")))</f>
        <v>-</v>
      </c>
      <c r="R167" s="66"/>
      <c r="T167" s="166"/>
      <c r="U167" s="166"/>
      <c r="V167" s="166"/>
      <c r="W167" s="65"/>
      <c r="X167" s="65"/>
      <c r="Y167" s="64"/>
      <c r="Z167" s="88"/>
      <c r="AA167" s="88"/>
      <c r="CN167" s="32"/>
      <c r="CO167" s="32"/>
    </row>
    <row r="168" customFormat="false" ht="12.75" hidden="false" customHeight="false" outlineLevel="0" collapsed="false">
      <c r="B168" s="176" t="s">
        <v>458</v>
      </c>
      <c r="C168" s="177"/>
      <c r="D168" s="177"/>
      <c r="E168" s="65"/>
      <c r="F168" s="64" t="n">
        <v>110</v>
      </c>
      <c r="G168" s="64" t="n">
        <v>4</v>
      </c>
      <c r="H168" s="65"/>
      <c r="I168" s="178" t="s">
        <v>454</v>
      </c>
      <c r="J168" s="178"/>
      <c r="K168" s="187" t="s">
        <v>459</v>
      </c>
      <c r="L168" s="64" t="n">
        <v>3</v>
      </c>
      <c r="M168" s="64" t="n">
        <v>3</v>
      </c>
      <c r="N168" s="64" t="n">
        <f aca="false">G168+IF(G168&gt;0,StrStep,0)+H168</f>
        <v>10</v>
      </c>
      <c r="O168" s="64" t="str">
        <f aca="true">OFFSET(ActionDice,N168,0)</f>
        <v>2d8</v>
      </c>
      <c r="P168" s="64"/>
      <c r="Q168" s="66" t="str">
        <f aca="false">IF(L168&gt;IF(I168="- / - / -",RaceWeaponMissile,RaceWeapon2H),"Too large",IF(L168&gt;RaceWeapon1H,"Two-handed",IF(L168&lt;RaceWeaponMin,"Too small","-")))</f>
        <v>-</v>
      </c>
      <c r="R168" s="66"/>
      <c r="T168" s="166"/>
      <c r="U168" s="166"/>
      <c r="V168" s="166"/>
      <c r="W168" s="65"/>
      <c r="X168" s="65"/>
      <c r="Y168" s="64"/>
      <c r="Z168" s="88"/>
      <c r="AA168" s="88"/>
      <c r="CN168" s="32"/>
      <c r="CO168" s="32"/>
    </row>
    <row r="169" customFormat="false" ht="12.75" hidden="false" customHeight="false" outlineLevel="0" collapsed="false">
      <c r="B169" s="176" t="s">
        <v>460</v>
      </c>
      <c r="C169" s="177"/>
      <c r="D169" s="177"/>
      <c r="E169" s="65"/>
      <c r="F169" s="64" t="n">
        <v>0.3</v>
      </c>
      <c r="G169" s="64" t="n">
        <v>1</v>
      </c>
      <c r="H169" s="65"/>
      <c r="I169" s="178" t="s">
        <v>461</v>
      </c>
      <c r="J169" s="178"/>
      <c r="K169" s="64" t="s">
        <v>372</v>
      </c>
      <c r="L169" s="64" t="n">
        <v>1</v>
      </c>
      <c r="M169" s="64" t="n">
        <v>0.5</v>
      </c>
      <c r="N169" s="64" t="n">
        <f aca="false">G169+IF(G169&gt;0,StrStep,0)+H169</f>
        <v>7</v>
      </c>
      <c r="O169" s="64" t="str">
        <f aca="true">OFFSET(ActionDice,N169,0)</f>
        <v>d12</v>
      </c>
      <c r="P169" s="64"/>
      <c r="Q169" s="66" t="str">
        <f aca="false">IF(L169&gt;IF(I169="- / - / -",RaceWeaponMissile,RaceWeapon2H),"Too large",IF(L169&gt;RaceWeapon1H,"Two-handed",IF(L169&lt;RaceWeaponMin,"Too small","-")))</f>
        <v>-</v>
      </c>
      <c r="R169" s="66"/>
      <c r="T169" s="166"/>
      <c r="U169" s="166"/>
      <c r="V169" s="166"/>
      <c r="W169" s="65"/>
      <c r="X169" s="65"/>
      <c r="Y169" s="64"/>
      <c r="Z169" s="88"/>
      <c r="AA169" s="88"/>
      <c r="CN169" s="32"/>
      <c r="CO169" s="32"/>
    </row>
    <row r="170" customFormat="false" ht="12.75" hidden="false" customHeight="false" outlineLevel="0" collapsed="false">
      <c r="B170" s="176" t="s">
        <v>462</v>
      </c>
      <c r="C170" s="177"/>
      <c r="D170" s="177"/>
      <c r="E170" s="65"/>
      <c r="F170" s="64" t="n">
        <v>200</v>
      </c>
      <c r="G170" s="64" t="n">
        <v>5</v>
      </c>
      <c r="H170" s="65"/>
      <c r="I170" s="178" t="s">
        <v>463</v>
      </c>
      <c r="J170" s="178"/>
      <c r="K170" s="64" t="s">
        <v>464</v>
      </c>
      <c r="L170" s="64" t="n">
        <v>5</v>
      </c>
      <c r="M170" s="64" t="n">
        <v>4</v>
      </c>
      <c r="N170" s="64" t="n">
        <f aca="false">G170+IF(G170&gt;0,StrStep,0)+H170</f>
        <v>11</v>
      </c>
      <c r="O170" s="64" t="str">
        <f aca="true">OFFSET(ActionDice,N170,0)</f>
        <v>d10 + d8</v>
      </c>
      <c r="P170" s="64"/>
      <c r="Q170" s="66" t="str">
        <f aca="false">IF(L170&gt;IF(I170="- / - / -",RaceWeaponMissile,RaceWeapon2H),"Too large",IF(L170&gt;RaceWeapon1H,"Two-handed",IF(L170&lt;RaceWeaponMin,"Too small","-")))</f>
        <v>Two-handed</v>
      </c>
      <c r="R170" s="66"/>
      <c r="T170" s="166"/>
      <c r="U170" s="166"/>
      <c r="V170" s="166"/>
      <c r="W170" s="65"/>
      <c r="X170" s="65"/>
      <c r="Y170" s="64"/>
      <c r="Z170" s="88"/>
      <c r="AA170" s="88"/>
      <c r="CN170" s="32"/>
      <c r="CO170" s="32"/>
    </row>
    <row r="171" customFormat="false" ht="12.75" hidden="false" customHeight="false" outlineLevel="0" collapsed="false">
      <c r="B171" s="176" t="s">
        <v>465</v>
      </c>
      <c r="C171" s="177"/>
      <c r="D171" s="177"/>
      <c r="E171" s="65"/>
      <c r="F171" s="64" t="n">
        <v>25</v>
      </c>
      <c r="G171" s="64" t="n">
        <v>2</v>
      </c>
      <c r="H171" s="65"/>
      <c r="I171" s="178" t="s">
        <v>466</v>
      </c>
      <c r="J171" s="178"/>
      <c r="K171" s="64" t="s">
        <v>372</v>
      </c>
      <c r="L171" s="64" t="n">
        <v>1</v>
      </c>
      <c r="M171" s="64" t="n">
        <v>0.8</v>
      </c>
      <c r="N171" s="64" t="n">
        <f aca="false">G171+IF(G171&gt;0,StrStep,0)+H171</f>
        <v>8</v>
      </c>
      <c r="O171" s="64" t="str">
        <f aca="true">OFFSET(ActionDice,N171,0)</f>
        <v>2d6</v>
      </c>
      <c r="P171" s="64"/>
      <c r="Q171" s="66" t="str">
        <f aca="false">IF(L171&gt;IF(I171="- / - / -",RaceWeaponMissile,RaceWeapon2H),"Too large",IF(L171&gt;RaceWeapon1H,"Two-handed",IF(L171&lt;RaceWeaponMin,"Too small","-")))</f>
        <v>-</v>
      </c>
      <c r="R171" s="66"/>
      <c r="T171" s="183"/>
      <c r="U171" s="183"/>
      <c r="V171" s="183"/>
      <c r="W171" s="86"/>
      <c r="X171" s="86"/>
      <c r="Y171" s="182"/>
      <c r="Z171" s="185"/>
      <c r="AA171" s="185"/>
      <c r="CN171" s="32"/>
      <c r="CO171" s="32"/>
    </row>
    <row r="172" customFormat="false" ht="12.75" hidden="false" customHeight="false" outlineLevel="0" collapsed="false">
      <c r="B172" s="176" t="s">
        <v>467</v>
      </c>
      <c r="C172" s="177"/>
      <c r="D172" s="177"/>
      <c r="E172" s="65"/>
      <c r="F172" s="64" t="n">
        <v>75</v>
      </c>
      <c r="G172" s="64" t="n">
        <v>4</v>
      </c>
      <c r="H172" s="65"/>
      <c r="I172" s="178" t="s">
        <v>468</v>
      </c>
      <c r="J172" s="178"/>
      <c r="K172" s="64" t="s">
        <v>385</v>
      </c>
      <c r="L172" s="64" t="n">
        <v>3</v>
      </c>
      <c r="M172" s="64" t="n">
        <v>2</v>
      </c>
      <c r="N172" s="64" t="n">
        <f aca="false">G172+IF(G172&gt;0,StrStep,0)+H172</f>
        <v>10</v>
      </c>
      <c r="O172" s="64" t="str">
        <f aca="true">OFFSET(ActionDice,N172,0)</f>
        <v>2d8</v>
      </c>
      <c r="P172" s="64"/>
      <c r="Q172" s="66" t="str">
        <f aca="false">IF(L172&gt;IF(I172="- / - / -",RaceWeaponMissile,RaceWeapon2H),"Too large",IF(L172&gt;RaceWeapon1H,"Two-handed",IF(L172&lt;RaceWeaponMin,"Too small","-")))</f>
        <v>-</v>
      </c>
      <c r="R172" s="66"/>
      <c r="T172" s="166"/>
      <c r="U172" s="166"/>
      <c r="V172" s="166"/>
      <c r="W172" s="65"/>
      <c r="X172" s="65"/>
      <c r="Y172" s="64"/>
      <c r="Z172" s="88"/>
      <c r="AA172" s="88"/>
      <c r="CN172" s="32"/>
      <c r="CO172" s="32"/>
    </row>
    <row r="173" customFormat="false" ht="12.75" hidden="false" customHeight="false" outlineLevel="0" collapsed="false">
      <c r="B173" s="176" t="s">
        <v>469</v>
      </c>
      <c r="C173" s="177"/>
      <c r="D173" s="177"/>
      <c r="E173" s="65"/>
      <c r="F173" s="64" t="n">
        <v>50</v>
      </c>
      <c r="G173" s="64" t="n">
        <v>4</v>
      </c>
      <c r="H173" s="65"/>
      <c r="I173" s="178" t="s">
        <v>470</v>
      </c>
      <c r="J173" s="178"/>
      <c r="K173" s="64" t="s">
        <v>346</v>
      </c>
      <c r="L173" s="64" t="n">
        <v>3</v>
      </c>
      <c r="M173" s="64" t="n">
        <v>5</v>
      </c>
      <c r="N173" s="64" t="n">
        <f aca="false">G173+IF(G173&gt;0,StrStep,0)+H173</f>
        <v>10</v>
      </c>
      <c r="O173" s="64" t="str">
        <f aca="true">OFFSET(ActionDice,N173,0)</f>
        <v>2d8</v>
      </c>
      <c r="P173" s="64"/>
      <c r="Q173" s="66" t="str">
        <f aca="false">IF(L173&gt;IF(I173="- / - / -",RaceWeaponMissile,RaceWeapon2H),"Too large",IF(L173&gt;RaceWeapon1H,"Two-handed",IF(L173&lt;RaceWeaponMin,"Too small","-")))</f>
        <v>-</v>
      </c>
      <c r="R173" s="66"/>
      <c r="T173" s="166"/>
      <c r="U173" s="166"/>
      <c r="V173" s="166"/>
      <c r="W173" s="65"/>
      <c r="X173" s="65"/>
      <c r="Y173" s="64"/>
      <c r="Z173" s="88"/>
      <c r="AA173" s="88"/>
      <c r="CN173" s="32"/>
      <c r="CO173" s="32"/>
    </row>
    <row r="174" customFormat="false" ht="12.75" hidden="false" customHeight="false" outlineLevel="0" collapsed="false">
      <c r="B174" s="176" t="s">
        <v>471</v>
      </c>
      <c r="C174" s="177"/>
      <c r="D174" s="177"/>
      <c r="E174" s="65"/>
      <c r="F174" s="64" t="n">
        <v>60</v>
      </c>
      <c r="G174" s="64" t="n">
        <v>4</v>
      </c>
      <c r="H174" s="65"/>
      <c r="I174" s="178" t="s">
        <v>472</v>
      </c>
      <c r="J174" s="178"/>
      <c r="K174" s="64" t="s">
        <v>473</v>
      </c>
      <c r="L174" s="64" t="n">
        <v>5</v>
      </c>
      <c r="M174" s="64" t="n">
        <v>4</v>
      </c>
      <c r="N174" s="64" t="n">
        <f aca="false">G174+IF(G174&gt;0,StrStep,0)+H174</f>
        <v>10</v>
      </c>
      <c r="O174" s="64" t="str">
        <f aca="true">OFFSET(ActionDice,N174,0)</f>
        <v>2d8</v>
      </c>
      <c r="P174" s="64"/>
      <c r="Q174" s="66" t="str">
        <f aca="false">IF(L174&gt;IF(I174="- / - / -",RaceWeaponMissile,RaceWeapon2H),"Too large",IF(L174&gt;RaceWeapon1H,"Two-handed",IF(L174&lt;RaceWeaponMin,"Too small","-")))</f>
        <v>Two-handed</v>
      </c>
      <c r="R174" s="66"/>
      <c r="T174" s="166"/>
      <c r="U174" s="166"/>
      <c r="V174" s="166"/>
      <c r="W174" s="65"/>
      <c r="X174" s="65"/>
      <c r="Y174" s="64"/>
      <c r="Z174" s="88"/>
      <c r="AA174" s="88"/>
      <c r="CN174" s="32"/>
      <c r="CO174" s="32"/>
    </row>
    <row r="175" customFormat="false" ht="12.75" hidden="false" customHeight="false" outlineLevel="0" collapsed="false">
      <c r="B175" s="176" t="s">
        <v>474</v>
      </c>
      <c r="C175" s="177"/>
      <c r="D175" s="177"/>
      <c r="E175" s="65"/>
      <c r="F175" s="64" t="n">
        <v>100</v>
      </c>
      <c r="G175" s="64" t="n">
        <v>5</v>
      </c>
      <c r="H175" s="65"/>
      <c r="I175" s="178" t="s">
        <v>472</v>
      </c>
      <c r="J175" s="178"/>
      <c r="K175" s="64" t="s">
        <v>352</v>
      </c>
      <c r="L175" s="64" t="n">
        <v>4</v>
      </c>
      <c r="M175" s="64" t="n">
        <v>7</v>
      </c>
      <c r="N175" s="64" t="n">
        <f aca="false">G175+IF(G175&gt;0,StrStep,0)+H175</f>
        <v>11</v>
      </c>
      <c r="O175" s="64" t="str">
        <f aca="true">OFFSET(ActionDice,N175,0)</f>
        <v>d10 + d8</v>
      </c>
      <c r="P175" s="64"/>
      <c r="Q175" s="66" t="str">
        <f aca="false">IF(L175&gt;IF(I175="- / - / -",RaceWeaponMissile,RaceWeapon2H),"Too large",IF(L175&gt;RaceWeapon1H,"Two-handed",IF(L175&lt;RaceWeaponMin,"Too small","-")))</f>
        <v>Two-handed</v>
      </c>
      <c r="R175" s="66"/>
      <c r="T175" s="166"/>
      <c r="U175" s="166"/>
      <c r="V175" s="166"/>
      <c r="W175" s="65"/>
      <c r="X175" s="65"/>
      <c r="Y175" s="64"/>
      <c r="Z175" s="88"/>
      <c r="AA175" s="88"/>
      <c r="CN175" s="32"/>
      <c r="CO175" s="32"/>
    </row>
    <row r="176" customFormat="false" ht="12.75" hidden="false" customHeight="false" outlineLevel="0" collapsed="false">
      <c r="B176" s="176" t="s">
        <v>475</v>
      </c>
      <c r="C176" s="177"/>
      <c r="D176" s="177"/>
      <c r="E176" s="65"/>
      <c r="F176" s="64" t="n">
        <v>75</v>
      </c>
      <c r="G176" s="64" t="n">
        <v>2</v>
      </c>
      <c r="H176" s="65"/>
      <c r="I176" s="186" t="s">
        <v>476</v>
      </c>
      <c r="J176" s="186"/>
      <c r="K176" s="64" t="s">
        <v>355</v>
      </c>
      <c r="L176" s="64" t="n">
        <v>2</v>
      </c>
      <c r="M176" s="64" t="n">
        <v>1</v>
      </c>
      <c r="N176" s="64" t="n">
        <f aca="false">G176+IF(G176&gt;0,StrStep,0)+H176</f>
        <v>8</v>
      </c>
      <c r="O176" s="64" t="str">
        <f aca="true">OFFSET(ActionDice,N176,0)</f>
        <v>2d6</v>
      </c>
      <c r="P176" s="64"/>
      <c r="Q176" s="66" t="str">
        <f aca="false">IF(L176&gt;IF(I176="- / - / -",RaceWeaponMissile,RaceWeapon2H),"Too large",IF(L176&gt;RaceWeapon1H,"Two-handed",IF(L176&lt;RaceWeaponMin,"Too small","-")))</f>
        <v>-</v>
      </c>
      <c r="R176" s="66"/>
      <c r="T176" s="166"/>
      <c r="U176" s="166"/>
      <c r="V176" s="166"/>
      <c r="W176" s="65"/>
      <c r="X176" s="65"/>
      <c r="Y176" s="64"/>
      <c r="Z176" s="88"/>
      <c r="AA176" s="88"/>
      <c r="CN176" s="32"/>
      <c r="CO176" s="32"/>
    </row>
    <row r="177" customFormat="false" ht="12.75" hidden="false" customHeight="false" outlineLevel="0" collapsed="false">
      <c r="B177" s="176" t="s">
        <v>477</v>
      </c>
      <c r="C177" s="177"/>
      <c r="D177" s="177"/>
      <c r="E177" s="65"/>
      <c r="F177" s="64" t="n">
        <v>15</v>
      </c>
      <c r="G177" s="64" t="n">
        <v>0</v>
      </c>
      <c r="H177" s="65"/>
      <c r="I177" s="186" t="s">
        <v>478</v>
      </c>
      <c r="J177" s="186"/>
      <c r="K177" s="64" t="s">
        <v>479</v>
      </c>
      <c r="L177" s="64" t="n">
        <v>3</v>
      </c>
      <c r="M177" s="64" t="n">
        <v>5</v>
      </c>
      <c r="N177" s="64" t="n">
        <f aca="false">G177+IF(G177&gt;0,StrStep,0)+H177</f>
        <v>0</v>
      </c>
      <c r="O177" s="64" t="str">
        <f aca="true">OFFSET(ActionDice,N177,0)</f>
        <v>-</v>
      </c>
      <c r="P177" s="64"/>
      <c r="Q177" s="66" t="str">
        <f aca="false">IF(L177&gt;IF(I177="- / - / -",RaceWeaponMissile,RaceWeapon2H),"Too large",IF(L177&gt;RaceWeapon1H,"Two-handed",IF(L177&lt;RaceWeaponMin,"Too small","-")))</f>
        <v>-</v>
      </c>
      <c r="R177" s="66"/>
      <c r="T177" s="166"/>
      <c r="U177" s="166"/>
      <c r="V177" s="166"/>
      <c r="W177" s="65"/>
      <c r="X177" s="65"/>
      <c r="Y177" s="64"/>
      <c r="Z177" s="88"/>
      <c r="AA177" s="88"/>
      <c r="CN177" s="32"/>
      <c r="CO177" s="32"/>
    </row>
    <row r="178" customFormat="false" ht="12.75" hidden="false" customHeight="false" outlineLevel="0" collapsed="false">
      <c r="B178" s="176" t="s">
        <v>480</v>
      </c>
      <c r="C178" s="177"/>
      <c r="D178" s="177"/>
      <c r="E178" s="65"/>
      <c r="F178" s="64" t="n">
        <v>10</v>
      </c>
      <c r="G178" s="64" t="n">
        <v>3</v>
      </c>
      <c r="H178" s="65"/>
      <c r="I178" s="178" t="s">
        <v>481</v>
      </c>
      <c r="J178" s="178"/>
      <c r="K178" s="64" t="s">
        <v>375</v>
      </c>
      <c r="L178" s="64" t="n">
        <v>4</v>
      </c>
      <c r="M178" s="64" t="n">
        <v>1</v>
      </c>
      <c r="N178" s="64" t="n">
        <f aca="false">G178+IF(G178&gt;0,StrStep,0)+H178</f>
        <v>9</v>
      </c>
      <c r="O178" s="64" t="str">
        <f aca="true">OFFSET(ActionDice,N178,0)</f>
        <v>d8+d6</v>
      </c>
      <c r="P178" s="64"/>
      <c r="Q178" s="64" t="str">
        <f aca="false">IF(L178&gt;IF(I178="- / - / -",RaceWeaponMissile,RaceWeapon2H),"Too large",IF(L178&gt;RaceWeapon1H,"Two-handed",IF(L178&lt;RaceWeaponMin,"Too small","-")))</f>
        <v>Two-handed</v>
      </c>
      <c r="R178" s="66"/>
      <c r="T178" s="166"/>
      <c r="U178" s="166"/>
      <c r="V178" s="166"/>
      <c r="W178" s="65"/>
      <c r="X178" s="65"/>
      <c r="Y178" s="64"/>
      <c r="Z178" s="88"/>
      <c r="AA178" s="88"/>
      <c r="CN178" s="32"/>
      <c r="CO178" s="32"/>
    </row>
    <row r="179" customFormat="false" ht="12.75" hidden="false" customHeight="false" outlineLevel="0" collapsed="false">
      <c r="B179" s="176" t="s">
        <v>482</v>
      </c>
      <c r="C179" s="177"/>
      <c r="D179" s="177"/>
      <c r="E179" s="65"/>
      <c r="F179" s="64" t="n">
        <v>15</v>
      </c>
      <c r="G179" s="64" t="n">
        <v>3</v>
      </c>
      <c r="H179" s="65"/>
      <c r="I179" s="178" t="s">
        <v>483</v>
      </c>
      <c r="J179" s="178"/>
      <c r="K179" s="64" t="s">
        <v>385</v>
      </c>
      <c r="L179" s="64" t="n">
        <v>3</v>
      </c>
      <c r="M179" s="64" t="n">
        <v>3</v>
      </c>
      <c r="N179" s="64" t="n">
        <f aca="false">G179+IF(G179&gt;0,StrStep,0)+H179</f>
        <v>9</v>
      </c>
      <c r="O179" s="64" t="str">
        <f aca="true">OFFSET(ActionDice,N179,0)</f>
        <v>d8+d6</v>
      </c>
      <c r="P179" s="64"/>
      <c r="Q179" s="64" t="str">
        <f aca="false">IF(L179&gt;IF(I179="- / - / -",RaceWeaponMissile,RaceWeapon2H),"Too large",IF(L179&gt;RaceWeapon1H,"Two-handed",IF(L179&lt;RaceWeaponMin,"Too small","-")))</f>
        <v>-</v>
      </c>
      <c r="R179" s="66"/>
      <c r="T179" s="166"/>
      <c r="U179" s="166"/>
      <c r="V179" s="166"/>
      <c r="W179" s="65"/>
      <c r="X179" s="65"/>
      <c r="Y179" s="64"/>
      <c r="Z179" s="88"/>
      <c r="AA179" s="88"/>
      <c r="CN179" s="32"/>
      <c r="CO179" s="32"/>
    </row>
    <row r="180" customFormat="false" ht="12.75" hidden="false" customHeight="false" outlineLevel="0" collapsed="false">
      <c r="B180" s="176" t="s">
        <v>484</v>
      </c>
      <c r="C180" s="177"/>
      <c r="D180" s="177"/>
      <c r="E180" s="65"/>
      <c r="F180" s="64" t="n">
        <v>3</v>
      </c>
      <c r="G180" s="64" t="n">
        <v>2</v>
      </c>
      <c r="H180" s="65"/>
      <c r="I180" s="178" t="s">
        <v>466</v>
      </c>
      <c r="J180" s="178"/>
      <c r="K180" s="64" t="s">
        <v>355</v>
      </c>
      <c r="L180" s="64" t="n">
        <v>2</v>
      </c>
      <c r="M180" s="64" t="n">
        <v>1</v>
      </c>
      <c r="N180" s="64" t="n">
        <f aca="false">G180+IF(G180&gt;0,StrStep,0)+H180</f>
        <v>8</v>
      </c>
      <c r="O180" s="64" t="str">
        <f aca="true">OFFSET(ActionDice,N180,0)</f>
        <v>2d6</v>
      </c>
      <c r="P180" s="64"/>
      <c r="Q180" s="64" t="str">
        <f aca="false">IF(L180&gt;IF(I180="- / - / -",RaceWeaponMissile,RaceWeapon2H),"Too large",IF(L180&gt;RaceWeapon1H,"Two-handed",IF(L180&lt;RaceWeaponMin,"Too small","-")))</f>
        <v>-</v>
      </c>
      <c r="R180" s="66"/>
      <c r="T180" s="183"/>
      <c r="U180" s="183"/>
      <c r="V180" s="183"/>
      <c r="W180" s="86"/>
      <c r="X180" s="86"/>
      <c r="Y180" s="182"/>
      <c r="Z180" s="185"/>
      <c r="AA180" s="185"/>
      <c r="CN180" s="32"/>
      <c r="CO180" s="32"/>
    </row>
    <row r="181" customFormat="false" ht="12.75" hidden="false" customHeight="false" outlineLevel="0" collapsed="false">
      <c r="B181" s="176" t="s">
        <v>485</v>
      </c>
      <c r="C181" s="177"/>
      <c r="D181" s="177"/>
      <c r="E181" s="65"/>
      <c r="F181" s="64" t="n">
        <v>25</v>
      </c>
      <c r="G181" s="64" t="n">
        <v>3</v>
      </c>
      <c r="H181" s="65"/>
      <c r="I181" s="178" t="s">
        <v>454</v>
      </c>
      <c r="J181" s="178"/>
      <c r="K181" s="64" t="s">
        <v>366</v>
      </c>
      <c r="L181" s="64" t="n">
        <v>3</v>
      </c>
      <c r="M181" s="64" t="n">
        <v>2</v>
      </c>
      <c r="N181" s="64" t="n">
        <f aca="false">G181+IF(G181&gt;0,StrStep,0)+H181</f>
        <v>9</v>
      </c>
      <c r="O181" s="64" t="str">
        <f aca="true">OFFSET(ActionDice,N181,0)</f>
        <v>d8+d6</v>
      </c>
      <c r="P181" s="64"/>
      <c r="Q181" s="64" t="str">
        <f aca="false">IF(L181&gt;IF(I181="- / - / -",RaceWeaponMissile,RaceWeapon2H),"Too large",IF(L181&gt;RaceWeapon1H,"Two-handed",IF(L181&lt;RaceWeaponMin,"Too small","-")))</f>
        <v>-</v>
      </c>
      <c r="R181" s="66"/>
      <c r="T181" s="166"/>
      <c r="U181" s="166"/>
      <c r="V181" s="166"/>
      <c r="W181" s="65"/>
      <c r="X181" s="65"/>
      <c r="Y181" s="64"/>
      <c r="Z181" s="88"/>
      <c r="AA181" s="88"/>
      <c r="CN181" s="32"/>
      <c r="CO181" s="32"/>
    </row>
    <row r="182" customFormat="false" ht="12.75" hidden="false" customHeight="false" outlineLevel="0" collapsed="false">
      <c r="B182" s="176" t="s">
        <v>486</v>
      </c>
      <c r="C182" s="177"/>
      <c r="D182" s="177"/>
      <c r="E182" s="65"/>
      <c r="F182" s="64" t="n">
        <v>2</v>
      </c>
      <c r="G182" s="64" t="n">
        <v>2</v>
      </c>
      <c r="H182" s="65"/>
      <c r="I182" s="178" t="s">
        <v>487</v>
      </c>
      <c r="J182" s="178"/>
      <c r="K182" s="64" t="s">
        <v>372</v>
      </c>
      <c r="L182" s="64" t="n">
        <v>1</v>
      </c>
      <c r="M182" s="64" t="n">
        <v>0.75</v>
      </c>
      <c r="N182" s="64" t="n">
        <f aca="false">G182+IF(G182&gt;0,StrStep,0)+H182</f>
        <v>8</v>
      </c>
      <c r="O182" s="64" t="str">
        <f aca="true">OFFSET(ActionDice,N182,0)</f>
        <v>2d6</v>
      </c>
      <c r="P182" s="64"/>
      <c r="Q182" s="64" t="str">
        <f aca="false">IF(L182&gt;IF(I182="- / - / -",RaceWeaponMissile,RaceWeapon2H),"Too large",IF(L182&gt;RaceWeapon1H,"Two-handed",IF(L182&lt;RaceWeaponMin,"Too small","-")))</f>
        <v>-</v>
      </c>
      <c r="R182" s="66"/>
      <c r="T182" s="166"/>
      <c r="U182" s="166"/>
      <c r="V182" s="166"/>
      <c r="W182" s="65"/>
      <c r="X182" s="65"/>
      <c r="Y182" s="64"/>
      <c r="Z182" s="88"/>
      <c r="AA182" s="88"/>
      <c r="CN182" s="32"/>
      <c r="CO182" s="32"/>
    </row>
    <row r="183" customFormat="false" ht="12.75" hidden="false" customHeight="false" outlineLevel="0" collapsed="false">
      <c r="B183" s="176" t="s">
        <v>488</v>
      </c>
      <c r="C183" s="177"/>
      <c r="D183" s="177"/>
      <c r="E183" s="65"/>
      <c r="F183" s="64" t="n">
        <v>10</v>
      </c>
      <c r="G183" s="64" t="n">
        <v>0</v>
      </c>
      <c r="H183" s="65"/>
      <c r="I183" s="178" t="s">
        <v>371</v>
      </c>
      <c r="J183" s="178"/>
      <c r="K183" s="64" t="s">
        <v>346</v>
      </c>
      <c r="L183" s="64" t="n">
        <v>2</v>
      </c>
      <c r="M183" s="64" t="n">
        <v>1</v>
      </c>
      <c r="N183" s="64" t="n">
        <f aca="false">G183+IF(G183&gt;0,StrStep,0)+H183</f>
        <v>0</v>
      </c>
      <c r="O183" s="64" t="str">
        <f aca="true">OFFSET(ActionDice,N183,0)</f>
        <v>-</v>
      </c>
      <c r="P183" s="64"/>
      <c r="Q183" s="64" t="str">
        <f aca="false">IF(L183&gt;IF(I183="- / - / -",RaceWeaponMissile,RaceWeapon2H),"Too large",IF(L183&gt;RaceWeapon1H,"Two-handed",IF(L183&lt;RaceWeaponMin,"Too small","-")))</f>
        <v>-</v>
      </c>
      <c r="R183" s="66"/>
      <c r="T183" s="166"/>
      <c r="U183" s="166"/>
      <c r="V183" s="166"/>
      <c r="W183" s="65"/>
      <c r="X183" s="65"/>
      <c r="Y183" s="64"/>
      <c r="Z183" s="88"/>
      <c r="AA183" s="88"/>
      <c r="CN183" s="32"/>
      <c r="CO183" s="32"/>
    </row>
    <row r="184" customFormat="false" ht="12.75" hidden="false" customHeight="false" outlineLevel="0" collapsed="false">
      <c r="B184" s="176" t="s">
        <v>489</v>
      </c>
      <c r="C184" s="177"/>
      <c r="D184" s="177"/>
      <c r="E184" s="65"/>
      <c r="F184" s="64" t="n">
        <v>15</v>
      </c>
      <c r="G184" s="64" t="n">
        <v>4</v>
      </c>
      <c r="H184" s="65"/>
      <c r="I184" s="178" t="s">
        <v>483</v>
      </c>
      <c r="J184" s="178"/>
      <c r="K184" s="64" t="s">
        <v>361</v>
      </c>
      <c r="L184" s="64" t="n">
        <v>4</v>
      </c>
      <c r="M184" s="64" t="n">
        <v>4</v>
      </c>
      <c r="N184" s="64" t="n">
        <f aca="false">G184+IF(G184&gt;0,StrStep,0)+H184</f>
        <v>10</v>
      </c>
      <c r="O184" s="64" t="str">
        <f aca="true">OFFSET(ActionDice,N184,0)</f>
        <v>2d8</v>
      </c>
      <c r="P184" s="64"/>
      <c r="Q184" s="64" t="str">
        <f aca="false">IF(L184&gt;IF(I184="- / - / -",RaceWeaponMissile,RaceWeapon2H),"Too large",IF(L184&gt;RaceWeapon1H,"Two-handed",IF(L184&lt;RaceWeaponMin,"Too small","-")))</f>
        <v>Two-handed</v>
      </c>
      <c r="R184" s="66"/>
      <c r="T184" s="166"/>
      <c r="U184" s="166"/>
      <c r="V184" s="166"/>
      <c r="W184" s="65"/>
      <c r="X184" s="65"/>
      <c r="Y184" s="64"/>
      <c r="Z184" s="88"/>
      <c r="AA184" s="88"/>
      <c r="CN184" s="32"/>
      <c r="CO184" s="32"/>
    </row>
    <row r="185" customFormat="false" ht="12.75" hidden="false" customHeight="false" outlineLevel="0" collapsed="false">
      <c r="B185" s="176" t="s">
        <v>490</v>
      </c>
      <c r="C185" s="177"/>
      <c r="D185" s="177"/>
      <c r="E185" s="65"/>
      <c r="F185" s="64" t="n">
        <v>25</v>
      </c>
      <c r="G185" s="64" t="n">
        <v>3</v>
      </c>
      <c r="H185" s="65"/>
      <c r="I185" s="178" t="s">
        <v>468</v>
      </c>
      <c r="J185" s="178"/>
      <c r="K185" s="64" t="s">
        <v>355</v>
      </c>
      <c r="L185" s="64" t="n">
        <v>2</v>
      </c>
      <c r="M185" s="64" t="n">
        <v>0.9</v>
      </c>
      <c r="N185" s="64" t="n">
        <f aca="false">G185+IF(G185&gt;0,StrStep,0)+H185</f>
        <v>9</v>
      </c>
      <c r="O185" s="64"/>
      <c r="P185" s="64"/>
      <c r="Q185" s="64"/>
      <c r="R185" s="66"/>
      <c r="T185" s="166"/>
      <c r="U185" s="166"/>
      <c r="V185" s="166"/>
      <c r="W185" s="65"/>
      <c r="X185" s="65"/>
      <c r="Y185" s="64"/>
      <c r="Z185" s="88"/>
      <c r="AA185" s="88"/>
      <c r="CN185" s="32"/>
      <c r="CO185" s="32"/>
    </row>
    <row r="186" customFormat="false" ht="12.75" hidden="false" customHeight="false" outlineLevel="0" collapsed="false">
      <c r="B186" s="176" t="s">
        <v>491</v>
      </c>
      <c r="C186" s="177"/>
      <c r="D186" s="177"/>
      <c r="E186" s="65"/>
      <c r="F186" s="64" t="n">
        <v>15</v>
      </c>
      <c r="G186" s="64" t="n">
        <v>0</v>
      </c>
      <c r="H186" s="65"/>
      <c r="I186" s="186" t="s">
        <v>478</v>
      </c>
      <c r="J186" s="178"/>
      <c r="K186" s="64" t="s">
        <v>389</v>
      </c>
      <c r="L186" s="64" t="n">
        <v>2</v>
      </c>
      <c r="M186" s="64" t="n">
        <v>0.75</v>
      </c>
      <c r="N186" s="64" t="n">
        <f aca="false">G186+IF(G186&gt;0,StrStep,0)+H186</f>
        <v>0</v>
      </c>
      <c r="O186" s="64" t="str">
        <f aca="true">OFFSET(ActionDice,N186,0)</f>
        <v>-</v>
      </c>
      <c r="P186" s="64"/>
      <c r="Q186" s="64" t="str">
        <f aca="false">IF(L186&gt;IF(I186="- / - / -",RaceWeaponMissile,RaceWeapon2H),"Too large",IF(L186&gt;RaceWeapon1H,"Two-handed",IF(L186&lt;RaceWeaponMin,"Too small","-")))</f>
        <v>-</v>
      </c>
      <c r="R186" s="66"/>
      <c r="T186" s="166"/>
      <c r="U186" s="67"/>
      <c r="V186" s="67"/>
      <c r="W186" s="65"/>
      <c r="X186" s="65"/>
      <c r="Y186" s="64"/>
      <c r="Z186" s="65"/>
      <c r="AA186" s="88"/>
      <c r="CN186" s="32"/>
      <c r="CO186" s="32"/>
    </row>
    <row r="187" customFormat="false" ht="12.75" hidden="false" customHeight="false" outlineLevel="0" collapsed="false">
      <c r="B187" s="188"/>
      <c r="C187" s="189"/>
      <c r="D187" s="189"/>
      <c r="E187" s="137"/>
      <c r="F187" s="95"/>
      <c r="G187" s="95"/>
      <c r="H187" s="137"/>
      <c r="I187" s="190"/>
      <c r="J187" s="191"/>
      <c r="K187" s="95"/>
      <c r="L187" s="95"/>
      <c r="M187" s="95"/>
      <c r="N187" s="95" t="n">
        <f aca="false">G187+IF(G187&gt;0,StrStep,0)+H187</f>
        <v>0</v>
      </c>
      <c r="O187" s="95" t="str">
        <f aca="true">OFFSET(ActionDice,N187,0)</f>
        <v>-</v>
      </c>
      <c r="P187" s="95"/>
      <c r="Q187" s="156" t="str">
        <f aca="false">IF(L187&gt;IF(I187="- / - / -",RaceWeaponMissile,RaceWeapon2H),"Too large",IF(L187&gt;RaceWeapon1H,"Two-handed",IF(L187&lt;RaceWeaponMin,"Too small","-")))</f>
        <v>Too small</v>
      </c>
      <c r="R187" s="156"/>
      <c r="T187" s="93"/>
      <c r="U187" s="94"/>
      <c r="V187" s="94"/>
      <c r="W187" s="137"/>
      <c r="X187" s="137"/>
      <c r="Y187" s="95"/>
      <c r="Z187" s="137"/>
      <c r="AA187" s="171"/>
      <c r="CN187" s="32"/>
      <c r="CO187" s="32"/>
    </row>
    <row r="188" s="32" customFormat="true" ht="12.75" hidden="false" customHeight="false" outlineLevel="0" collapsed="false">
      <c r="A188" s="56"/>
      <c r="B188" s="56"/>
      <c r="C188" s="56"/>
      <c r="D188" s="56"/>
      <c r="E188" s="42"/>
      <c r="F188" s="42"/>
      <c r="H188" s="56"/>
      <c r="I188" s="56"/>
      <c r="J188" s="56"/>
      <c r="K188" s="42"/>
      <c r="L188" s="42"/>
      <c r="N188" s="56"/>
      <c r="O188" s="56"/>
      <c r="P188" s="56"/>
      <c r="Q188" s="42"/>
      <c r="R188" s="42"/>
      <c r="T188" s="56"/>
      <c r="U188" s="56"/>
      <c r="V188" s="56"/>
      <c r="W188" s="42"/>
      <c r="X188" s="42"/>
      <c r="Z188" s="56"/>
      <c r="AA188" s="56"/>
      <c r="AB188" s="56"/>
      <c r="AC188" s="42"/>
      <c r="AD188" s="42"/>
      <c r="AE188" s="42"/>
      <c r="AF188" s="56"/>
    </row>
    <row r="189" s="32" customFormat="true" ht="12.75" hidden="false" customHeight="false" outlineLevel="0" collapsed="false">
      <c r="B189" s="103" t="s">
        <v>492</v>
      </c>
      <c r="C189" s="192"/>
      <c r="D189" s="192"/>
      <c r="E189" s="193"/>
      <c r="F189" s="58" t="s">
        <v>493</v>
      </c>
      <c r="G189" s="58" t="s">
        <v>494</v>
      </c>
      <c r="H189" s="58" t="s">
        <v>495</v>
      </c>
      <c r="I189" s="58" t="s">
        <v>496</v>
      </c>
      <c r="J189" s="58" t="s">
        <v>497</v>
      </c>
      <c r="K189" s="59" t="s">
        <v>155</v>
      </c>
      <c r="M189" s="50" t="s">
        <v>498</v>
      </c>
      <c r="N189" s="51"/>
      <c r="O189" s="51"/>
      <c r="P189" s="58" t="s">
        <v>499</v>
      </c>
      <c r="Q189" s="58" t="s">
        <v>336</v>
      </c>
      <c r="R189" s="58" t="s">
        <v>500</v>
      </c>
      <c r="S189" s="58" t="s">
        <v>155</v>
      </c>
      <c r="T189" s="59" t="s">
        <v>496</v>
      </c>
      <c r="U189" s="42"/>
      <c r="V189" s="50" t="s">
        <v>501</v>
      </c>
      <c r="W189" s="51"/>
      <c r="X189" s="51"/>
      <c r="Y189" s="59" t="s">
        <v>336</v>
      </c>
      <c r="AA189" s="194" t="s">
        <v>502</v>
      </c>
      <c r="AB189" s="51"/>
      <c r="AC189" s="51"/>
      <c r="AD189" s="58" t="s">
        <v>503</v>
      </c>
      <c r="AE189" s="59" t="s">
        <v>504</v>
      </c>
      <c r="CL189" s="0"/>
    </row>
    <row r="190" s="32" customFormat="true" ht="12.75" hidden="false" customHeight="false" outlineLevel="0" collapsed="false">
      <c r="B190" s="166" t="s">
        <v>505</v>
      </c>
      <c r="C190" s="166"/>
      <c r="D190" s="166"/>
      <c r="E190" s="65"/>
      <c r="F190" s="64" t="n">
        <v>2</v>
      </c>
      <c r="G190" s="64" t="n">
        <v>0</v>
      </c>
      <c r="H190" s="64" t="n">
        <v>0</v>
      </c>
      <c r="I190" s="64" t="n">
        <f aca="false">ROUND(5*RaceArmorWeight,0)</f>
        <v>5</v>
      </c>
      <c r="J190" s="64" t="n">
        <v>0</v>
      </c>
      <c r="K190" s="66" t="n">
        <f aca="false">ROUND(2*RaceArmorCost,0)</f>
        <v>2</v>
      </c>
      <c r="M190" s="166" t="s">
        <v>506</v>
      </c>
      <c r="N190" s="67"/>
      <c r="O190" s="67"/>
      <c r="P190" s="65" t="s">
        <v>219</v>
      </c>
      <c r="Q190" s="64" t="n">
        <v>2</v>
      </c>
      <c r="R190" s="64" t="n">
        <v>0</v>
      </c>
      <c r="S190" s="64" t="n">
        <v>100</v>
      </c>
      <c r="T190" s="66" t="n">
        <v>1</v>
      </c>
      <c r="V190" s="151"/>
      <c r="W190" s="69"/>
      <c r="X190" s="69"/>
      <c r="Y190" s="88"/>
      <c r="AA190" s="166" t="s">
        <v>507</v>
      </c>
      <c r="AB190" s="67"/>
      <c r="AC190" s="67"/>
      <c r="AD190" s="65" t="s">
        <v>219</v>
      </c>
      <c r="AE190" s="65" t="s">
        <v>219</v>
      </c>
      <c r="CL190" s="0"/>
    </row>
    <row r="191" s="32" customFormat="true" ht="12.75" hidden="false" customHeight="false" outlineLevel="0" collapsed="false">
      <c r="B191" s="166" t="s">
        <v>508</v>
      </c>
      <c r="C191" s="166"/>
      <c r="D191" s="166"/>
      <c r="E191" s="65"/>
      <c r="F191" s="64" t="n">
        <v>3</v>
      </c>
      <c r="G191" s="64" t="n">
        <v>0</v>
      </c>
      <c r="H191" s="64" t="n">
        <v>0</v>
      </c>
      <c r="I191" s="64" t="n">
        <f aca="false">ROUND(15*RaceArmorWeight,0)</f>
        <v>15</v>
      </c>
      <c r="J191" s="64" t="n">
        <v>0</v>
      </c>
      <c r="K191" s="66" t="n">
        <f aca="false">ROUND(10*RaceArmorCost,0)</f>
        <v>10</v>
      </c>
      <c r="M191" s="166" t="s">
        <v>509</v>
      </c>
      <c r="N191" s="67"/>
      <c r="O191" s="67"/>
      <c r="P191" s="65"/>
      <c r="Q191" s="64" t="n">
        <v>2</v>
      </c>
      <c r="R191" s="64" t="n">
        <v>0</v>
      </c>
      <c r="S191" s="64" t="n">
        <v>325</v>
      </c>
      <c r="T191" s="66" t="n">
        <v>1</v>
      </c>
      <c r="V191" s="151"/>
      <c r="W191" s="69"/>
      <c r="X191" s="69"/>
      <c r="Y191" s="88"/>
      <c r="AA191" s="166" t="s">
        <v>510</v>
      </c>
      <c r="AB191" s="67"/>
      <c r="AC191" s="67"/>
      <c r="AD191" s="65"/>
      <c r="AE191" s="65"/>
      <c r="CL191" s="0"/>
    </row>
    <row r="192" s="32" customFormat="true" ht="12.75" hidden="false" customHeight="false" outlineLevel="0" collapsed="false">
      <c r="B192" s="166" t="s">
        <v>511</v>
      </c>
      <c r="C192" s="166"/>
      <c r="D192" s="166"/>
      <c r="E192" s="65"/>
      <c r="F192" s="64" t="n">
        <v>4</v>
      </c>
      <c r="G192" s="64" t="n">
        <v>0</v>
      </c>
      <c r="H192" s="64" t="n">
        <v>0</v>
      </c>
      <c r="I192" s="64" t="n">
        <f aca="false">ROUND(20*RaceArmorWeight,0)</f>
        <v>20</v>
      </c>
      <c r="J192" s="64" t="n">
        <v>0</v>
      </c>
      <c r="K192" s="66" t="n">
        <f aca="false">ROUND(20*RaceArmorCost,0)</f>
        <v>20</v>
      </c>
      <c r="M192" s="166" t="s">
        <v>512</v>
      </c>
      <c r="N192" s="67"/>
      <c r="O192" s="67"/>
      <c r="P192" s="65"/>
      <c r="Q192" s="64" t="n">
        <v>2</v>
      </c>
      <c r="R192" s="64" t="n">
        <v>1</v>
      </c>
      <c r="S192" s="64" t="n">
        <v>1000</v>
      </c>
      <c r="T192" s="66" t="n">
        <v>1</v>
      </c>
      <c r="V192" s="151"/>
      <c r="W192" s="69"/>
      <c r="X192" s="69"/>
      <c r="Y192" s="88"/>
      <c r="AA192" s="166" t="s">
        <v>168</v>
      </c>
      <c r="AB192" s="67"/>
      <c r="AC192" s="67"/>
      <c r="AD192" s="65" t="s">
        <v>219</v>
      </c>
      <c r="AE192" s="65"/>
      <c r="CL192" s="0"/>
    </row>
    <row r="193" s="32" customFormat="true" ht="12.75" hidden="false" customHeight="false" outlineLevel="0" collapsed="false">
      <c r="B193" s="166" t="s">
        <v>513</v>
      </c>
      <c r="C193" s="166"/>
      <c r="D193" s="166"/>
      <c r="E193" s="65"/>
      <c r="F193" s="64" t="n">
        <v>5</v>
      </c>
      <c r="G193" s="64" t="n">
        <v>0</v>
      </c>
      <c r="H193" s="64" t="n">
        <v>1</v>
      </c>
      <c r="I193" s="64" t="n">
        <f aca="false">ROUND(25*RaceArmorWeight,0)</f>
        <v>25</v>
      </c>
      <c r="J193" s="64" t="n">
        <v>0</v>
      </c>
      <c r="K193" s="66" t="n">
        <f aca="false">ROUND(40*RaceArmorCost,0)</f>
        <v>40</v>
      </c>
      <c r="M193" s="166" t="s">
        <v>514</v>
      </c>
      <c r="N193" s="67"/>
      <c r="O193" s="67"/>
      <c r="P193" s="65"/>
      <c r="Q193" s="64" t="n">
        <v>0</v>
      </c>
      <c r="R193" s="64" t="n">
        <v>0</v>
      </c>
      <c r="S193" s="64" t="n">
        <v>300</v>
      </c>
      <c r="T193" s="66" t="n">
        <v>0.1</v>
      </c>
      <c r="V193" s="151"/>
      <c r="W193" s="69"/>
      <c r="X193" s="69"/>
      <c r="Y193" s="88"/>
      <c r="AA193" s="166" t="s">
        <v>515</v>
      </c>
      <c r="AB193" s="67"/>
      <c r="AC193" s="67"/>
      <c r="AD193" s="65"/>
      <c r="AE193" s="65"/>
      <c r="CL193" s="0"/>
    </row>
    <row r="194" s="32" customFormat="true" ht="12.75" hidden="false" customHeight="false" outlineLevel="0" collapsed="false">
      <c r="B194" s="166" t="s">
        <v>516</v>
      </c>
      <c r="C194" s="166"/>
      <c r="D194" s="166"/>
      <c r="E194" s="65"/>
      <c r="F194" s="64" t="n">
        <v>5</v>
      </c>
      <c r="G194" s="64" t="n">
        <v>1</v>
      </c>
      <c r="H194" s="64" t="n">
        <v>1</v>
      </c>
      <c r="I194" s="64" t="n">
        <f aca="false">ROUND(25*RaceArmorWeight,0)</f>
        <v>25</v>
      </c>
      <c r="J194" s="64" t="n">
        <v>0</v>
      </c>
      <c r="K194" s="66" t="n">
        <f aca="false">ROUND(50*RaceArmorCost,0)</f>
        <v>50</v>
      </c>
      <c r="M194" s="166" t="s">
        <v>517</v>
      </c>
      <c r="N194" s="67"/>
      <c r="O194" s="67"/>
      <c r="P194" s="65"/>
      <c r="Q194" s="64" t="n">
        <v>2</v>
      </c>
      <c r="R194" s="64" t="n">
        <v>1</v>
      </c>
      <c r="S194" s="64" t="n">
        <v>500</v>
      </c>
      <c r="T194" s="66" t="n">
        <v>1</v>
      </c>
      <c r="V194" s="151"/>
      <c r="W194" s="69"/>
      <c r="X194" s="69"/>
      <c r="Y194" s="88"/>
      <c r="AA194" s="166" t="s">
        <v>518</v>
      </c>
      <c r="AB194" s="67"/>
      <c r="AC194" s="67"/>
      <c r="AD194" s="65" t="s">
        <v>219</v>
      </c>
      <c r="AE194" s="65"/>
      <c r="CL194" s="0"/>
    </row>
    <row r="195" s="32" customFormat="true" ht="12.75" hidden="false" customHeight="false" outlineLevel="0" collapsed="false">
      <c r="B195" s="166" t="s">
        <v>519</v>
      </c>
      <c r="C195" s="166"/>
      <c r="D195" s="166"/>
      <c r="E195" s="65"/>
      <c r="F195" s="64" t="n">
        <v>3</v>
      </c>
      <c r="G195" s="64" t="n">
        <v>1</v>
      </c>
      <c r="H195" s="64" t="n">
        <v>0</v>
      </c>
      <c r="I195" s="64" t="n">
        <f aca="false">ROUND(20*RaceArmorWeight,0)</f>
        <v>20</v>
      </c>
      <c r="J195" s="64" t="n">
        <v>0</v>
      </c>
      <c r="K195" s="66" t="n">
        <f aca="false">ROUND(100*RaceArmorCost,0)</f>
        <v>100</v>
      </c>
      <c r="M195" s="166" t="s">
        <v>520</v>
      </c>
      <c r="N195" s="67"/>
      <c r="O195" s="67"/>
      <c r="P195" s="65"/>
      <c r="Q195" s="64" t="n">
        <v>1</v>
      </c>
      <c r="R195" s="64" t="n">
        <v>0</v>
      </c>
      <c r="S195" s="64" t="n">
        <v>2000</v>
      </c>
      <c r="T195" s="66" t="n">
        <v>1</v>
      </c>
      <c r="V195" s="151"/>
      <c r="W195" s="69"/>
      <c r="X195" s="69"/>
      <c r="Y195" s="88"/>
      <c r="AA195" s="166" t="s">
        <v>521</v>
      </c>
      <c r="AB195" s="67"/>
      <c r="AC195" s="67"/>
      <c r="AD195" s="65" t="s">
        <v>219</v>
      </c>
      <c r="AE195" s="65"/>
      <c r="CL195" s="0"/>
    </row>
    <row r="196" s="32" customFormat="true" ht="12.75" hidden="false" customHeight="false" outlineLevel="0" collapsed="false">
      <c r="B196" s="166" t="s">
        <v>522</v>
      </c>
      <c r="C196" s="166"/>
      <c r="D196" s="166"/>
      <c r="E196" s="65"/>
      <c r="F196" s="64" t="n">
        <v>6</v>
      </c>
      <c r="G196" s="64" t="n">
        <v>0</v>
      </c>
      <c r="H196" s="64" t="n">
        <v>2</v>
      </c>
      <c r="I196" s="64" t="n">
        <f aca="false">ROUND(30*RaceArmorWeight,0)</f>
        <v>30</v>
      </c>
      <c r="J196" s="64" t="n">
        <v>0</v>
      </c>
      <c r="K196" s="66" t="n">
        <f aca="false">ROUND(110*RaceArmorCost,0)</f>
        <v>110</v>
      </c>
      <c r="M196" s="166" t="s">
        <v>523</v>
      </c>
      <c r="N196" s="67"/>
      <c r="O196" s="67"/>
      <c r="P196" s="65"/>
      <c r="Q196" s="64" t="n">
        <v>2</v>
      </c>
      <c r="R196" s="64" t="n">
        <v>1</v>
      </c>
      <c r="S196" s="64" t="n">
        <v>180</v>
      </c>
      <c r="T196" s="66" t="n">
        <v>1</v>
      </c>
      <c r="V196" s="151"/>
      <c r="W196" s="69"/>
      <c r="X196" s="69"/>
      <c r="Y196" s="88"/>
      <c r="AA196" s="166" t="s">
        <v>524</v>
      </c>
      <c r="AB196" s="67"/>
      <c r="AC196" s="67"/>
      <c r="AD196" s="65"/>
      <c r="AE196" s="65"/>
      <c r="CL196" s="0"/>
    </row>
    <row r="197" s="32" customFormat="true" ht="12.75" hidden="false" customHeight="false" outlineLevel="0" collapsed="false">
      <c r="B197" s="166" t="s">
        <v>525</v>
      </c>
      <c r="C197" s="166"/>
      <c r="D197" s="166"/>
      <c r="E197" s="65"/>
      <c r="F197" s="64" t="n">
        <v>2</v>
      </c>
      <c r="G197" s="64" t="n">
        <v>3</v>
      </c>
      <c r="H197" s="64" t="n">
        <v>0</v>
      </c>
      <c r="I197" s="64" t="n">
        <f aca="false">ROUND(15*RaceArmorWeight,0)</f>
        <v>15</v>
      </c>
      <c r="J197" s="64" t="n">
        <v>0</v>
      </c>
      <c r="K197" s="66" t="n">
        <f aca="false">ROUND(125*RaceArmorCost,0)</f>
        <v>125</v>
      </c>
      <c r="M197" s="166" t="s">
        <v>526</v>
      </c>
      <c r="N197" s="67"/>
      <c r="O197" s="67"/>
      <c r="P197" s="65"/>
      <c r="Q197" s="64" t="n">
        <v>2</v>
      </c>
      <c r="R197" s="64" t="n">
        <v>1</v>
      </c>
      <c r="S197" s="64" t="n">
        <v>1500</v>
      </c>
      <c r="T197" s="66" t="n">
        <v>1</v>
      </c>
      <c r="V197" s="151"/>
      <c r="W197" s="69"/>
      <c r="X197" s="69"/>
      <c r="Y197" s="88"/>
      <c r="AA197" s="166" t="s">
        <v>527</v>
      </c>
      <c r="AB197" s="67"/>
      <c r="AC197" s="67"/>
      <c r="AD197" s="65"/>
      <c r="AE197" s="65"/>
      <c r="CL197" s="0"/>
    </row>
    <row r="198" s="32" customFormat="true" ht="12.75" hidden="false" customHeight="false" outlineLevel="0" collapsed="false">
      <c r="B198" s="166" t="s">
        <v>528</v>
      </c>
      <c r="C198" s="166"/>
      <c r="D198" s="166"/>
      <c r="E198" s="65"/>
      <c r="F198" s="64" t="n">
        <v>7</v>
      </c>
      <c r="G198" s="64" t="n">
        <v>0</v>
      </c>
      <c r="H198" s="64" t="n">
        <v>3</v>
      </c>
      <c r="I198" s="64" t="n">
        <f aca="false">ROUND(40*RaceArmorWeight,0)</f>
        <v>40</v>
      </c>
      <c r="J198" s="64" t="n">
        <v>0</v>
      </c>
      <c r="K198" s="66" t="n">
        <f aca="false">ROUND(180*RaceArmorCost,0)</f>
        <v>180</v>
      </c>
      <c r="M198" s="166" t="s">
        <v>529</v>
      </c>
      <c r="N198" s="67"/>
      <c r="O198" s="67"/>
      <c r="P198" s="65"/>
      <c r="Q198" s="64" t="n">
        <v>2</v>
      </c>
      <c r="R198" s="64" t="n">
        <v>1</v>
      </c>
      <c r="S198" s="64" t="n">
        <v>2500</v>
      </c>
      <c r="T198" s="66" t="n">
        <v>1</v>
      </c>
      <c r="V198" s="151"/>
      <c r="W198" s="69"/>
      <c r="X198" s="69"/>
      <c r="Y198" s="88"/>
      <c r="AA198" s="166" t="s">
        <v>530</v>
      </c>
      <c r="AB198" s="67"/>
      <c r="AC198" s="67"/>
      <c r="AD198" s="65" t="s">
        <v>219</v>
      </c>
      <c r="AE198" s="65" t="s">
        <v>219</v>
      </c>
      <c r="CL198" s="0"/>
    </row>
    <row r="199" s="32" customFormat="true" ht="12.75" hidden="false" customHeight="false" outlineLevel="0" collapsed="false">
      <c r="B199" s="166" t="s">
        <v>531</v>
      </c>
      <c r="C199" s="166"/>
      <c r="D199" s="166"/>
      <c r="E199" s="65"/>
      <c r="F199" s="64" t="n">
        <v>5</v>
      </c>
      <c r="G199" s="64" t="n">
        <v>3</v>
      </c>
      <c r="H199" s="64" t="n">
        <v>1</v>
      </c>
      <c r="I199" s="64" t="n">
        <v>0</v>
      </c>
      <c r="J199" s="64" t="n">
        <v>4</v>
      </c>
      <c r="K199" s="66" t="n">
        <f aca="false">ROUND(300*RaceArmorCost,0)</f>
        <v>300</v>
      </c>
      <c r="M199" s="166" t="s">
        <v>532</v>
      </c>
      <c r="N199" s="67"/>
      <c r="O199" s="67"/>
      <c r="P199" s="65"/>
      <c r="Q199" s="64" t="n">
        <v>2</v>
      </c>
      <c r="R199" s="64" t="n">
        <v>1</v>
      </c>
      <c r="S199" s="64" t="n">
        <v>3500</v>
      </c>
      <c r="T199" s="66" t="n">
        <v>1</v>
      </c>
      <c r="V199" s="170"/>
      <c r="W199" s="164"/>
      <c r="X199" s="164"/>
      <c r="Y199" s="171"/>
      <c r="AA199" s="151"/>
      <c r="AB199" s="69"/>
      <c r="AC199" s="69"/>
      <c r="AD199" s="65"/>
      <c r="AE199" s="65"/>
      <c r="CL199" s="0"/>
    </row>
    <row r="200" s="32" customFormat="true" ht="12.75" hidden="false" customHeight="false" outlineLevel="0" collapsed="false">
      <c r="B200" s="166" t="s">
        <v>533</v>
      </c>
      <c r="C200" s="166"/>
      <c r="D200" s="166"/>
      <c r="E200" s="65"/>
      <c r="F200" s="64" t="n">
        <v>4</v>
      </c>
      <c r="G200" s="64" t="n">
        <v>4</v>
      </c>
      <c r="H200" s="64" t="n">
        <v>2</v>
      </c>
      <c r="I200" s="64" t="n">
        <f aca="false">ROUND(45*RaceArmorWeight,0)</f>
        <v>45</v>
      </c>
      <c r="J200" s="64" t="n">
        <v>0</v>
      </c>
      <c r="K200" s="66" t="n">
        <f aca="false">ROUND(500*RaceArmorCost,0)</f>
        <v>500</v>
      </c>
      <c r="M200" s="166" t="s">
        <v>534</v>
      </c>
      <c r="N200" s="67"/>
      <c r="O200" s="67"/>
      <c r="P200" s="65"/>
      <c r="Q200" s="64" t="n">
        <v>2</v>
      </c>
      <c r="R200" s="64" t="n">
        <v>1</v>
      </c>
      <c r="S200" s="64" t="n">
        <v>500</v>
      </c>
      <c r="T200" s="66" t="n">
        <v>1</v>
      </c>
      <c r="AA200" s="151"/>
      <c r="AB200" s="69"/>
      <c r="AC200" s="69"/>
      <c r="AD200" s="65"/>
      <c r="AE200" s="65"/>
      <c r="CL200" s="0"/>
    </row>
    <row r="201" s="32" customFormat="true" ht="12.75" hidden="false" customHeight="false" outlineLevel="0" collapsed="false">
      <c r="B201" s="166" t="s">
        <v>535</v>
      </c>
      <c r="C201" s="166"/>
      <c r="D201" s="166"/>
      <c r="E201" s="65"/>
      <c r="F201" s="64" t="n">
        <v>6</v>
      </c>
      <c r="G201" s="64" t="n">
        <v>3</v>
      </c>
      <c r="H201" s="64" t="n">
        <v>2</v>
      </c>
      <c r="I201" s="64" t="n">
        <v>0</v>
      </c>
      <c r="J201" s="64" t="n">
        <v>5</v>
      </c>
      <c r="K201" s="66" t="n">
        <f aca="false">ROUND(1100*RaceArmorCost,0)</f>
        <v>1100</v>
      </c>
      <c r="M201" s="166" t="s">
        <v>536</v>
      </c>
      <c r="N201" s="67"/>
      <c r="O201" s="67"/>
      <c r="P201" s="65"/>
      <c r="Q201" s="64" t="n">
        <v>3</v>
      </c>
      <c r="R201" s="64" t="n">
        <v>1</v>
      </c>
      <c r="S201" s="64" t="n">
        <v>500</v>
      </c>
      <c r="T201" s="66" t="n">
        <v>3</v>
      </c>
      <c r="V201" s="50" t="s">
        <v>537</v>
      </c>
      <c r="W201" s="51"/>
      <c r="X201" s="51"/>
      <c r="Y201" s="52"/>
      <c r="AA201" s="170"/>
      <c r="AB201" s="164"/>
      <c r="AC201" s="164"/>
      <c r="AD201" s="137"/>
      <c r="AE201" s="65"/>
      <c r="CL201" s="0"/>
    </row>
    <row r="202" customFormat="false" ht="12.75" hidden="false" customHeight="false" outlineLevel="0" collapsed="false">
      <c r="B202" s="166" t="s">
        <v>538</v>
      </c>
      <c r="C202" s="166"/>
      <c r="D202" s="166"/>
      <c r="E202" s="65"/>
      <c r="F202" s="64" t="n">
        <v>9</v>
      </c>
      <c r="G202" s="64" t="n">
        <v>0</v>
      </c>
      <c r="H202" s="64" t="n">
        <v>4</v>
      </c>
      <c r="I202" s="64" t="n">
        <f aca="false">ROUND(60*RaceArmorWeight,0)</f>
        <v>60</v>
      </c>
      <c r="J202" s="64" t="n">
        <v>0</v>
      </c>
      <c r="K202" s="66" t="n">
        <f aca="false">ROUND(3000*RaceArmorCost,0)</f>
        <v>3000</v>
      </c>
      <c r="M202" s="166" t="s">
        <v>539</v>
      </c>
      <c r="N202" s="67"/>
      <c r="O202" s="67"/>
      <c r="P202" s="65"/>
      <c r="Q202" s="64" t="n">
        <v>1</v>
      </c>
      <c r="R202" s="64" t="n">
        <v>0</v>
      </c>
      <c r="S202" s="64" t="n">
        <v>175</v>
      </c>
      <c r="T202" s="66" t="n">
        <v>1</v>
      </c>
      <c r="V202" s="62" t="s">
        <v>540</v>
      </c>
      <c r="W202" s="54"/>
      <c r="X202" s="65"/>
      <c r="Y202" s="68"/>
      <c r="CN202" s="32"/>
      <c r="CO202" s="32"/>
    </row>
    <row r="203" customFormat="false" ht="12.75" hidden="false" customHeight="false" outlineLevel="0" collapsed="false">
      <c r="B203" s="166" t="s">
        <v>541</v>
      </c>
      <c r="C203" s="166"/>
      <c r="D203" s="166"/>
      <c r="E203" s="65"/>
      <c r="F203" s="64" t="n">
        <v>7</v>
      </c>
      <c r="G203" s="64" t="n">
        <v>7</v>
      </c>
      <c r="H203" s="64" t="n">
        <v>5</v>
      </c>
      <c r="I203" s="64" t="n">
        <f aca="false">ROUND(90*RaceArmorWeight,0)</f>
        <v>90</v>
      </c>
      <c r="J203" s="64" t="n">
        <v>0</v>
      </c>
      <c r="K203" s="66" t="n">
        <f aca="false">ROUND(12000*RaceArmorCost,0)</f>
        <v>12000</v>
      </c>
      <c r="M203" s="166" t="s">
        <v>542</v>
      </c>
      <c r="N203" s="67"/>
      <c r="O203" s="67"/>
      <c r="P203" s="65"/>
      <c r="Q203" s="64" t="n">
        <v>1</v>
      </c>
      <c r="R203" s="64" t="n">
        <v>0</v>
      </c>
      <c r="S203" s="64" t="n">
        <v>175</v>
      </c>
      <c r="T203" s="66" t="n">
        <v>1</v>
      </c>
      <c r="V203" s="62" t="s">
        <v>543</v>
      </c>
      <c r="W203" s="54"/>
      <c r="X203" s="65" t="n">
        <v>700</v>
      </c>
      <c r="Y203" s="68"/>
      <c r="CN203" s="32"/>
      <c r="CO203" s="32"/>
    </row>
    <row r="204" customFormat="false" ht="12.75" hidden="false" customHeight="false" outlineLevel="0" collapsed="false">
      <c r="B204" s="166" t="s">
        <v>544</v>
      </c>
      <c r="C204" s="166"/>
      <c r="D204" s="166"/>
      <c r="E204" s="65"/>
      <c r="F204" s="64" t="n">
        <v>3</v>
      </c>
      <c r="G204" s="64" t="n">
        <v>3</v>
      </c>
      <c r="H204" s="64" t="n">
        <v>2</v>
      </c>
      <c r="I204" s="64" t="n">
        <f aca="false">ROUND(20*RaceArmorWeight,0)</f>
        <v>20</v>
      </c>
      <c r="J204" s="64" t="n">
        <v>0</v>
      </c>
      <c r="K204" s="66" t="n">
        <f aca="false">ROUND(5*RaceArmorCost,0)</f>
        <v>5</v>
      </c>
      <c r="M204" s="166" t="s">
        <v>545</v>
      </c>
      <c r="N204" s="67"/>
      <c r="O204" s="67"/>
      <c r="P204" s="65"/>
      <c r="Q204" s="64" t="n">
        <v>3</v>
      </c>
      <c r="R204" s="64" t="n">
        <v>2</v>
      </c>
      <c r="S204" s="64" t="n">
        <v>1700</v>
      </c>
      <c r="T204" s="66" t="n">
        <v>10</v>
      </c>
      <c r="V204" s="62" t="s">
        <v>546</v>
      </c>
      <c r="W204" s="54"/>
      <c r="X204" s="65"/>
      <c r="Y204" s="68"/>
      <c r="CN204" s="32"/>
      <c r="CO204" s="32"/>
    </row>
    <row r="205" customFormat="false" ht="12.75" hidden="false" customHeight="false" outlineLevel="0" collapsed="false">
      <c r="B205" s="166" t="s">
        <v>547</v>
      </c>
      <c r="C205" s="166"/>
      <c r="D205" s="166"/>
      <c r="E205" s="65"/>
      <c r="F205" s="64" t="n">
        <v>4</v>
      </c>
      <c r="G205" s="64" t="n">
        <v>4</v>
      </c>
      <c r="H205" s="64" t="n">
        <v>1</v>
      </c>
      <c r="I205" s="64" t="n">
        <f aca="false">ROUND(0*RaceArmorWeight,0)</f>
        <v>0</v>
      </c>
      <c r="J205" s="64" t="n">
        <v>0</v>
      </c>
      <c r="K205" s="66" t="n">
        <f aca="false">ROUND(350*RaceArmorCost,0)</f>
        <v>350</v>
      </c>
      <c r="M205" s="166" t="s">
        <v>548</v>
      </c>
      <c r="N205" s="67"/>
      <c r="O205" s="67"/>
      <c r="P205" s="65"/>
      <c r="Q205" s="64" t="s">
        <v>549</v>
      </c>
      <c r="R205" s="64" t="n">
        <v>0.5</v>
      </c>
      <c r="S205" s="64" t="n">
        <v>250</v>
      </c>
      <c r="T205" s="66" t="n">
        <v>1</v>
      </c>
      <c r="V205" s="62" t="s">
        <v>550</v>
      </c>
      <c r="W205" s="54"/>
      <c r="X205" s="65"/>
      <c r="Y205" s="68"/>
      <c r="CN205" s="32"/>
      <c r="CO205" s="32"/>
    </row>
    <row r="206" customFormat="false" ht="12.75" hidden="false" customHeight="false" outlineLevel="0" collapsed="false">
      <c r="B206" s="166" t="s">
        <v>551</v>
      </c>
      <c r="C206" s="166"/>
      <c r="D206" s="166"/>
      <c r="E206" s="65"/>
      <c r="F206" s="64" t="n">
        <v>8</v>
      </c>
      <c r="G206" s="64" t="n">
        <v>1</v>
      </c>
      <c r="H206" s="64" t="n">
        <v>3</v>
      </c>
      <c r="I206" s="64" t="n">
        <f aca="false">ROUND(50*RaceArmorWeight,0)</f>
        <v>50</v>
      </c>
      <c r="J206" s="64" t="n">
        <v>0</v>
      </c>
      <c r="K206" s="66" t="n">
        <f aca="false">ROUND(2000*RaceArmorCost,0)</f>
        <v>2000</v>
      </c>
      <c r="M206" s="166" t="s">
        <v>552</v>
      </c>
      <c r="N206" s="67"/>
      <c r="O206" s="67"/>
      <c r="P206" s="65"/>
      <c r="Q206" s="64" t="n">
        <v>2</v>
      </c>
      <c r="R206" s="64" t="n">
        <v>0</v>
      </c>
      <c r="S206" s="64" t="n">
        <v>200</v>
      </c>
      <c r="T206" s="66" t="n">
        <v>1</v>
      </c>
      <c r="V206" s="62" t="s">
        <v>553</v>
      </c>
      <c r="W206" s="54"/>
      <c r="X206" s="65"/>
      <c r="Y206" s="68"/>
      <c r="CN206" s="32"/>
      <c r="CO206" s="32"/>
    </row>
    <row r="207" customFormat="false" ht="12.75" hidden="false" customHeight="false" outlineLevel="0" collapsed="false">
      <c r="B207" s="166" t="s">
        <v>554</v>
      </c>
      <c r="C207" s="166"/>
      <c r="D207" s="166"/>
      <c r="E207" s="65"/>
      <c r="F207" s="64" t="n">
        <v>5</v>
      </c>
      <c r="G207" s="64" t="n">
        <v>0</v>
      </c>
      <c r="H207" s="64" t="n">
        <v>1</v>
      </c>
      <c r="I207" s="64" t="n">
        <f aca="false">ROUND(20*RaceArmorWeight,0)</f>
        <v>20</v>
      </c>
      <c r="J207" s="64" t="n">
        <v>0</v>
      </c>
      <c r="K207" s="66" t="n">
        <f aca="false">ROUND(100*RaceArmorCost,0)</f>
        <v>100</v>
      </c>
      <c r="M207" s="166" t="s">
        <v>555</v>
      </c>
      <c r="N207" s="67"/>
      <c r="O207" s="67"/>
      <c r="P207" s="65"/>
      <c r="Q207" s="64" t="n">
        <v>3</v>
      </c>
      <c r="R207" s="64" t="n">
        <v>0</v>
      </c>
      <c r="S207" s="64" t="n">
        <v>450</v>
      </c>
      <c r="T207" s="66" t="n">
        <v>1</v>
      </c>
      <c r="V207" s="62" t="s">
        <v>556</v>
      </c>
      <c r="W207" s="54"/>
      <c r="X207" s="65"/>
      <c r="Y207" s="68"/>
      <c r="CN207" s="32"/>
      <c r="CO207" s="32"/>
    </row>
    <row r="208" customFormat="false" ht="12.75" hidden="false" customHeight="false" outlineLevel="0" collapsed="false">
      <c r="B208" s="166" t="s">
        <v>557</v>
      </c>
      <c r="C208" s="166"/>
      <c r="D208" s="166"/>
      <c r="E208" s="65"/>
      <c r="F208" s="64" t="n">
        <v>6</v>
      </c>
      <c r="G208" s="64" t="n">
        <v>0</v>
      </c>
      <c r="H208" s="64" t="n">
        <v>2</v>
      </c>
      <c r="I208" s="64" t="n">
        <f aca="false">ROUND(20*RaceArmorWeight,0)</f>
        <v>20</v>
      </c>
      <c r="J208" s="64" t="n">
        <v>0</v>
      </c>
      <c r="K208" s="66" t="n">
        <f aca="false">ROUND(360*RaceArmorCost,0)</f>
        <v>360</v>
      </c>
      <c r="M208" s="166" t="s">
        <v>558</v>
      </c>
      <c r="N208" s="67"/>
      <c r="O208" s="67"/>
      <c r="P208" s="65"/>
      <c r="Q208" s="64" t="n">
        <v>3</v>
      </c>
      <c r="R208" s="64" t="n">
        <v>1</v>
      </c>
      <c r="S208" s="64" t="n">
        <v>275</v>
      </c>
      <c r="T208" s="66" t="n">
        <v>1</v>
      </c>
      <c r="V208" s="62" t="s">
        <v>559</v>
      </c>
      <c r="W208" s="54"/>
      <c r="X208" s="65"/>
      <c r="Y208" s="68"/>
      <c r="CN208" s="32"/>
      <c r="CO208" s="32"/>
    </row>
    <row r="209" customFormat="false" ht="12.75" hidden="false" customHeight="false" outlineLevel="0" collapsed="false">
      <c r="B209" s="166" t="s">
        <v>560</v>
      </c>
      <c r="C209" s="166"/>
      <c r="D209" s="166"/>
      <c r="E209" s="65"/>
      <c r="F209" s="64" t="n">
        <v>0</v>
      </c>
      <c r="G209" s="64" t="n">
        <v>0</v>
      </c>
      <c r="H209" s="64" t="n">
        <v>0</v>
      </c>
      <c r="I209" s="64" t="n">
        <f aca="false">ROUND(10*RaceArmorWeight,0)</f>
        <v>10</v>
      </c>
      <c r="J209" s="64" t="n">
        <v>0</v>
      </c>
      <c r="K209" s="66" t="n">
        <f aca="false">ROUND(35*RaceArmorCost,0)</f>
        <v>35</v>
      </c>
      <c r="M209" s="166" t="s">
        <v>561</v>
      </c>
      <c r="N209" s="67"/>
      <c r="O209" s="67"/>
      <c r="P209" s="65"/>
      <c r="Q209" s="64" t="n">
        <v>3</v>
      </c>
      <c r="R209" s="64" t="n">
        <v>1</v>
      </c>
      <c r="S209" s="64" t="n">
        <v>300</v>
      </c>
      <c r="T209" s="66" t="n">
        <v>1</v>
      </c>
      <c r="V209" s="99" t="s">
        <v>562</v>
      </c>
      <c r="W209" s="100"/>
      <c r="X209" s="137"/>
      <c r="Y209" s="96"/>
      <c r="CN209" s="32"/>
      <c r="CO209" s="32"/>
    </row>
    <row r="210" customFormat="false" ht="12.75" hidden="false" customHeight="false" outlineLevel="0" collapsed="false">
      <c r="B210" s="166" t="s">
        <v>563</v>
      </c>
      <c r="C210" s="166"/>
      <c r="D210" s="166"/>
      <c r="E210" s="65"/>
      <c r="F210" s="64" t="n">
        <v>6</v>
      </c>
      <c r="G210" s="64" t="n">
        <v>0</v>
      </c>
      <c r="H210" s="64" t="n">
        <v>3</v>
      </c>
      <c r="I210" s="64" t="n">
        <f aca="false">ROUND(60*RaceArmorWeight,0)</f>
        <v>60</v>
      </c>
      <c r="J210" s="64" t="n">
        <v>0</v>
      </c>
      <c r="K210" s="66" t="n">
        <f aca="false">ROUND(55*RaceArmorCost,0)</f>
        <v>55</v>
      </c>
      <c r="M210" s="166" t="s">
        <v>564</v>
      </c>
      <c r="N210" s="67"/>
      <c r="O210" s="67"/>
      <c r="P210" s="65"/>
      <c r="Q210" s="64" t="n">
        <v>2</v>
      </c>
      <c r="R210" s="64" t="n">
        <v>1</v>
      </c>
      <c r="S210" s="64" t="n">
        <v>500</v>
      </c>
      <c r="T210" s="66" t="n">
        <v>1</v>
      </c>
      <c r="V210" s="195" t="s">
        <v>565</v>
      </c>
      <c r="W210" s="196"/>
      <c r="X210" s="196"/>
      <c r="Y210" s="196"/>
      <c r="CN210" s="32"/>
      <c r="CO210" s="32"/>
    </row>
    <row r="211" customFormat="false" ht="12.75" hidden="false" customHeight="false" outlineLevel="0" collapsed="false">
      <c r="B211" s="166" t="s">
        <v>566</v>
      </c>
      <c r="C211" s="166"/>
      <c r="D211" s="166"/>
      <c r="E211" s="65"/>
      <c r="F211" s="64" t="n">
        <v>7</v>
      </c>
      <c r="G211" s="64" t="n">
        <v>0</v>
      </c>
      <c r="H211" s="64" t="n">
        <v>4</v>
      </c>
      <c r="I211" s="64" t="n">
        <f aca="false">ROUND(80*RaceArmorWeight,0)</f>
        <v>80</v>
      </c>
      <c r="J211" s="64" t="n">
        <v>0</v>
      </c>
      <c r="K211" s="66" t="n">
        <f aca="false">ROUND(90*RaceArmorCost,0)</f>
        <v>90</v>
      </c>
      <c r="M211" s="166" t="s">
        <v>567</v>
      </c>
      <c r="N211" s="67"/>
      <c r="O211" s="67"/>
      <c r="P211" s="65"/>
      <c r="Q211" s="64" t="n">
        <v>1</v>
      </c>
      <c r="R211" s="64" t="n">
        <v>3</v>
      </c>
      <c r="S211" s="64" t="n">
        <v>1000</v>
      </c>
      <c r="T211" s="66" t="n">
        <v>1</v>
      </c>
      <c r="V211" s="62"/>
      <c r="W211" s="55"/>
      <c r="X211" s="55"/>
      <c r="Y211" s="55"/>
      <c r="CN211" s="32"/>
      <c r="CO211" s="32"/>
    </row>
    <row r="212" customFormat="false" ht="12.75" hidden="false" customHeight="false" outlineLevel="0" collapsed="false">
      <c r="B212" s="166" t="s">
        <v>568</v>
      </c>
      <c r="C212" s="166"/>
      <c r="D212" s="166"/>
      <c r="E212" s="65"/>
      <c r="F212" s="64" t="n">
        <v>7</v>
      </c>
      <c r="G212" s="64" t="n">
        <v>1</v>
      </c>
      <c r="H212" s="64" t="n">
        <v>2</v>
      </c>
      <c r="I212" s="64" t="n">
        <f aca="false">ROUND(40*RaceArmorWeight,0)</f>
        <v>40</v>
      </c>
      <c r="J212" s="64" t="n">
        <v>0</v>
      </c>
      <c r="K212" s="66" t="n">
        <f aca="false">ROUND(1000*RaceArmorCost,0)</f>
        <v>1000</v>
      </c>
      <c r="M212" s="166" t="s">
        <v>569</v>
      </c>
      <c r="N212" s="67"/>
      <c r="O212" s="67"/>
      <c r="P212" s="65"/>
      <c r="Q212" s="64" t="n">
        <v>2</v>
      </c>
      <c r="R212" s="64" t="n">
        <v>0</v>
      </c>
      <c r="S212" s="64" t="n">
        <v>450</v>
      </c>
      <c r="T212" s="66" t="n">
        <v>0.1</v>
      </c>
      <c r="V212" s="99"/>
      <c r="W212" s="96"/>
      <c r="X212" s="96"/>
      <c r="Y212" s="96"/>
      <c r="CN212" s="32"/>
      <c r="CO212" s="32"/>
    </row>
    <row r="213" customFormat="false" ht="12.75" hidden="false" customHeight="false" outlineLevel="0" collapsed="false">
      <c r="B213" s="166" t="s">
        <v>570</v>
      </c>
      <c r="C213" s="166"/>
      <c r="D213" s="166"/>
      <c r="E213" s="65"/>
      <c r="F213" s="64" t="n">
        <v>5</v>
      </c>
      <c r="G213" s="64" t="n">
        <v>0</v>
      </c>
      <c r="H213" s="64" t="n">
        <v>2</v>
      </c>
      <c r="I213" s="64" t="n">
        <f aca="false">ROUND(30*RaceArmorWeight,0)</f>
        <v>30</v>
      </c>
      <c r="J213" s="64" t="n">
        <v>0</v>
      </c>
      <c r="K213" s="66" t="n">
        <f aca="false">ROUND(55*RaceArmorCost,0)</f>
        <v>55</v>
      </c>
      <c r="M213" s="166" t="s">
        <v>571</v>
      </c>
      <c r="N213" s="67"/>
      <c r="O213" s="67"/>
      <c r="P213" s="65"/>
      <c r="Q213" s="64" t="n">
        <v>3</v>
      </c>
      <c r="R213" s="64" t="n">
        <v>0</v>
      </c>
      <c r="S213" s="64" t="n">
        <v>250</v>
      </c>
      <c r="T213" s="66" t="n">
        <v>1</v>
      </c>
      <c r="V213" s="50" t="s">
        <v>572</v>
      </c>
      <c r="W213" s="57"/>
      <c r="X213" s="57"/>
      <c r="Y213" s="197"/>
      <c r="CN213" s="32"/>
      <c r="CO213" s="32"/>
    </row>
    <row r="214" customFormat="false" ht="12.75" hidden="false" customHeight="false" outlineLevel="0" collapsed="false">
      <c r="B214" s="166" t="s">
        <v>573</v>
      </c>
      <c r="C214" s="166"/>
      <c r="D214" s="166"/>
      <c r="E214" s="65"/>
      <c r="F214" s="64" t="n">
        <v>6</v>
      </c>
      <c r="G214" s="64" t="n">
        <v>0</v>
      </c>
      <c r="H214" s="64" t="n">
        <v>3</v>
      </c>
      <c r="I214" s="64" t="n">
        <f aca="false">ROUND(40*RaceArmorWeight,0)</f>
        <v>40</v>
      </c>
      <c r="J214" s="64" t="n">
        <v>0</v>
      </c>
      <c r="K214" s="66" t="n">
        <f aca="false">ROUND(90*RaceArmorCost,0)</f>
        <v>90</v>
      </c>
      <c r="M214" s="166" t="s">
        <v>574</v>
      </c>
      <c r="N214" s="67"/>
      <c r="O214" s="67"/>
      <c r="P214" s="65"/>
      <c r="Q214" s="64" t="n">
        <v>3</v>
      </c>
      <c r="R214" s="64" t="n">
        <v>0</v>
      </c>
      <c r="S214" s="64" t="n">
        <v>200</v>
      </c>
      <c r="T214" s="66" t="n">
        <v>1</v>
      </c>
      <c r="V214" s="198"/>
      <c r="W214" s="198"/>
      <c r="X214" s="198"/>
      <c r="Y214" s="198"/>
      <c r="CJ214" s="0"/>
      <c r="CK214" s="0"/>
      <c r="CN214" s="32"/>
      <c r="CO214" s="32"/>
    </row>
    <row r="215" customFormat="false" ht="12.75" hidden="false" customHeight="false" outlineLevel="0" collapsed="false">
      <c r="B215" s="166" t="s">
        <v>575</v>
      </c>
      <c r="C215" s="166"/>
      <c r="D215" s="166"/>
      <c r="E215" s="65"/>
      <c r="F215" s="64" t="n">
        <v>3</v>
      </c>
      <c r="G215" s="64" t="n">
        <v>1</v>
      </c>
      <c r="H215" s="64" t="n">
        <v>1</v>
      </c>
      <c r="I215" s="64" t="n">
        <f aca="false">ROUND(10*RaceArmorWeight,0)</f>
        <v>10</v>
      </c>
      <c r="J215" s="64" t="n">
        <v>0</v>
      </c>
      <c r="K215" s="66" t="n">
        <f aca="false">ROUND(200*RaceArmorCost,0)</f>
        <v>200</v>
      </c>
      <c r="M215" s="166" t="s">
        <v>576</v>
      </c>
      <c r="N215" s="67"/>
      <c r="O215" s="67"/>
      <c r="P215" s="65"/>
      <c r="Q215" s="64" t="n">
        <v>3</v>
      </c>
      <c r="R215" s="64" t="n">
        <v>0</v>
      </c>
      <c r="S215" s="64" t="n">
        <v>350</v>
      </c>
      <c r="T215" s="66" t="n">
        <v>1</v>
      </c>
      <c r="V215" s="151"/>
      <c r="W215" s="69"/>
      <c r="X215" s="69"/>
      <c r="Y215" s="55"/>
      <c r="CJ215" s="0"/>
      <c r="CK215" s="0"/>
    </row>
    <row r="216" customFormat="false" ht="12.75" hidden="false" customHeight="false" outlineLevel="0" collapsed="false">
      <c r="B216" s="166" t="s">
        <v>544</v>
      </c>
      <c r="C216" s="166"/>
      <c r="D216" s="166"/>
      <c r="E216" s="65"/>
      <c r="F216" s="64" t="n">
        <v>2</v>
      </c>
      <c r="G216" s="64" t="n">
        <v>1</v>
      </c>
      <c r="H216" s="64" t="n">
        <v>1</v>
      </c>
      <c r="I216" s="64" t="n">
        <f aca="false">ROUND(5*RaceArmorWeight,0)</f>
        <v>5</v>
      </c>
      <c r="J216" s="64" t="n">
        <v>0</v>
      </c>
      <c r="K216" s="66" t="n">
        <f aca="false">ROUND(15*RaceArmorCost,0)</f>
        <v>15</v>
      </c>
      <c r="M216" s="166" t="s">
        <v>577</v>
      </c>
      <c r="N216" s="67"/>
      <c r="O216" s="67"/>
      <c r="P216" s="65"/>
      <c r="Q216" s="64" t="n">
        <v>3</v>
      </c>
      <c r="R216" s="64" t="n">
        <v>0</v>
      </c>
      <c r="S216" s="64" t="n">
        <v>300</v>
      </c>
      <c r="T216" s="66" t="n">
        <v>1</v>
      </c>
      <c r="V216" s="151"/>
      <c r="W216" s="69"/>
      <c r="X216" s="69"/>
      <c r="Y216" s="55"/>
      <c r="CJ216" s="0"/>
      <c r="CK216" s="0"/>
    </row>
    <row r="217" customFormat="false" ht="12.75" hidden="false" customHeight="false" outlineLevel="0" collapsed="false">
      <c r="B217" s="166" t="s">
        <v>578</v>
      </c>
      <c r="C217" s="67"/>
      <c r="D217" s="67"/>
      <c r="E217" s="65"/>
      <c r="F217" s="64" t="n">
        <v>1</v>
      </c>
      <c r="G217" s="64" t="n">
        <v>0</v>
      </c>
      <c r="H217" s="64" t="n">
        <v>0</v>
      </c>
      <c r="I217" s="64" t="n">
        <f aca="false">ROUND(3*RaceArmorWeight,0)</f>
        <v>3</v>
      </c>
      <c r="J217" s="64" t="n">
        <v>0</v>
      </c>
      <c r="K217" s="66" t="n">
        <f aca="false">ROUND(5*RaceArmorCost,0)</f>
        <v>5</v>
      </c>
      <c r="M217" s="166" t="s">
        <v>579</v>
      </c>
      <c r="N217" s="67"/>
      <c r="O217" s="67"/>
      <c r="P217" s="65"/>
      <c r="Q217" s="64" t="n">
        <v>3</v>
      </c>
      <c r="R217" s="64" t="n">
        <v>0</v>
      </c>
      <c r="S217" s="64" t="n">
        <v>400</v>
      </c>
      <c r="T217" s="66" t="n">
        <v>1</v>
      </c>
      <c r="V217" s="151"/>
      <c r="W217" s="69"/>
      <c r="X217" s="69"/>
      <c r="Y217" s="55"/>
      <c r="CJ217" s="0"/>
      <c r="CK217" s="0"/>
    </row>
    <row r="218" customFormat="false" ht="12.75" hidden="false" customHeight="false" outlineLevel="0" collapsed="false">
      <c r="B218" s="166" t="s">
        <v>580</v>
      </c>
      <c r="C218" s="67"/>
      <c r="D218" s="67"/>
      <c r="E218" s="65"/>
      <c r="F218" s="64" t="n">
        <v>1</v>
      </c>
      <c r="G218" s="64" t="n">
        <v>1</v>
      </c>
      <c r="H218" s="64" t="n">
        <v>0</v>
      </c>
      <c r="I218" s="64" t="n">
        <f aca="false">ROUND(5*RaceArmorWeight,0)</f>
        <v>5</v>
      </c>
      <c r="J218" s="64" t="n">
        <v>0</v>
      </c>
      <c r="K218" s="66" t="n">
        <f aca="false">ROUND(50*RaceArmorCost,0)</f>
        <v>50</v>
      </c>
      <c r="M218" s="166" t="s">
        <v>581</v>
      </c>
      <c r="N218" s="67"/>
      <c r="O218" s="67"/>
      <c r="P218" s="65"/>
      <c r="Q218" s="64" t="n">
        <v>4</v>
      </c>
      <c r="R218" s="64" t="n">
        <v>0</v>
      </c>
      <c r="S218" s="64" t="n">
        <v>250</v>
      </c>
      <c r="T218" s="66" t="n">
        <v>1</v>
      </c>
      <c r="V218" s="170"/>
      <c r="W218" s="164"/>
      <c r="X218" s="164"/>
      <c r="Y218" s="165"/>
      <c r="CJ218" s="0"/>
      <c r="CK218" s="0"/>
    </row>
    <row r="219" customFormat="false" ht="12.75" hidden="false" customHeight="false" outlineLevel="0" collapsed="false">
      <c r="B219" s="166" t="s">
        <v>578</v>
      </c>
      <c r="C219" s="67"/>
      <c r="D219" s="67"/>
      <c r="E219" s="65"/>
      <c r="F219" s="64" t="n">
        <v>1</v>
      </c>
      <c r="G219" s="64" t="n">
        <v>0</v>
      </c>
      <c r="H219" s="64" t="n">
        <v>0</v>
      </c>
      <c r="I219" s="64" t="n">
        <f aca="false">ROUND(3*RaceArmorWeight,0)</f>
        <v>3</v>
      </c>
      <c r="J219" s="64" t="n">
        <v>0</v>
      </c>
      <c r="K219" s="66" t="n">
        <f aca="false">ROUND(5*RaceArmorCost,0)</f>
        <v>5</v>
      </c>
      <c r="M219" s="166" t="s">
        <v>582</v>
      </c>
      <c r="N219" s="67"/>
      <c r="O219" s="67"/>
      <c r="P219" s="65"/>
      <c r="Q219" s="64" t="n">
        <v>2</v>
      </c>
      <c r="R219" s="64" t="n">
        <v>0</v>
      </c>
      <c r="S219" s="64" t="n">
        <v>300</v>
      </c>
      <c r="T219" s="66" t="n">
        <v>1</v>
      </c>
      <c r="V219" s="56"/>
      <c r="W219" s="56"/>
      <c r="X219" s="56"/>
      <c r="Y219" s="56"/>
      <c r="CJ219" s="0"/>
      <c r="CK219" s="0"/>
    </row>
    <row r="220" customFormat="false" ht="12.75" hidden="false" customHeight="false" outlineLevel="0" collapsed="false">
      <c r="B220" s="166" t="s">
        <v>583</v>
      </c>
      <c r="C220" s="67"/>
      <c r="D220" s="67"/>
      <c r="E220" s="65"/>
      <c r="F220" s="64" t="n">
        <v>1</v>
      </c>
      <c r="G220" s="64" t="n">
        <v>2</v>
      </c>
      <c r="H220" s="64" t="n">
        <v>1</v>
      </c>
      <c r="I220" s="64" t="n">
        <f aca="false">ROUND(5*RaceArmorWeight,0)</f>
        <v>5</v>
      </c>
      <c r="J220" s="64" t="n">
        <v>0</v>
      </c>
      <c r="K220" s="66" t="n">
        <f aca="false">ROUND(22*RaceArmorCost,0)</f>
        <v>22</v>
      </c>
      <c r="M220" s="166" t="s">
        <v>584</v>
      </c>
      <c r="N220" s="67"/>
      <c r="O220" s="67"/>
      <c r="P220" s="65"/>
      <c r="Q220" s="64" t="n">
        <v>3</v>
      </c>
      <c r="R220" s="64" t="n">
        <v>1</v>
      </c>
      <c r="S220" s="64" t="n">
        <v>450</v>
      </c>
      <c r="T220" s="66" t="n">
        <v>1</v>
      </c>
      <c r="V220" s="56"/>
      <c r="W220" s="56"/>
      <c r="X220" s="56"/>
      <c r="Y220" s="56"/>
      <c r="CJ220" s="0"/>
      <c r="CK220" s="0"/>
    </row>
    <row r="221" customFormat="false" ht="12.75" hidden="false" customHeight="false" outlineLevel="0" collapsed="false">
      <c r="B221" s="166" t="s">
        <v>585</v>
      </c>
      <c r="C221" s="67"/>
      <c r="D221" s="67"/>
      <c r="E221" s="65" t="s">
        <v>219</v>
      </c>
      <c r="F221" s="64" t="n">
        <v>3</v>
      </c>
      <c r="G221" s="64" t="n">
        <v>0</v>
      </c>
      <c r="H221" s="64" t="n">
        <v>1</v>
      </c>
      <c r="I221" s="64" t="n">
        <f aca="false">ROUND(10*RaceArmorWeight,0)</f>
        <v>10</v>
      </c>
      <c r="J221" s="64" t="n">
        <v>0</v>
      </c>
      <c r="K221" s="66" t="n">
        <f aca="false">ROUND(15*RaceArmorCost,0)</f>
        <v>15</v>
      </c>
      <c r="M221" s="166" t="s">
        <v>586</v>
      </c>
      <c r="N221" s="67"/>
      <c r="O221" s="67"/>
      <c r="P221" s="65" t="s">
        <v>219</v>
      </c>
      <c r="Q221" s="64" t="n">
        <v>3</v>
      </c>
      <c r="R221" s="64" t="n">
        <v>0</v>
      </c>
      <c r="S221" s="64" t="n">
        <v>500</v>
      </c>
      <c r="T221" s="66" t="n">
        <v>1</v>
      </c>
      <c r="V221" s="56"/>
      <c r="W221" s="56"/>
      <c r="X221" s="56"/>
      <c r="Y221" s="56"/>
      <c r="CJ221" s="0"/>
      <c r="CK221" s="0"/>
    </row>
    <row r="222" s="32" customFormat="true" ht="12.75" hidden="false" customHeight="false" outlineLevel="0" collapsed="false">
      <c r="B222" s="166" t="s">
        <v>587</v>
      </c>
      <c r="C222" s="67"/>
      <c r="D222" s="67"/>
      <c r="E222" s="65"/>
      <c r="F222" s="64" t="n">
        <v>3</v>
      </c>
      <c r="G222" s="64" t="n">
        <v>0</v>
      </c>
      <c r="H222" s="64" t="n">
        <v>1</v>
      </c>
      <c r="I222" s="64" t="n">
        <f aca="false">ROUND(8*RaceArmorWeight,0)</f>
        <v>8</v>
      </c>
      <c r="J222" s="64" t="n">
        <v>0</v>
      </c>
      <c r="K222" s="66" t="n">
        <f aca="false">ROUND(20*RaceArmorCost,0)</f>
        <v>20</v>
      </c>
      <c r="M222" s="166" t="s">
        <v>588</v>
      </c>
      <c r="N222" s="67"/>
      <c r="O222" s="67"/>
      <c r="P222" s="65"/>
      <c r="Q222" s="64" t="n">
        <v>4</v>
      </c>
      <c r="R222" s="64" t="n">
        <v>1</v>
      </c>
      <c r="S222" s="64" t="n">
        <v>600</v>
      </c>
      <c r="T222" s="66" t="n">
        <v>1</v>
      </c>
      <c r="CL222" s="0"/>
    </row>
    <row r="223" s="32" customFormat="true" ht="12.75" hidden="false" customHeight="false" outlineLevel="0" collapsed="false">
      <c r="B223" s="166" t="s">
        <v>589</v>
      </c>
      <c r="C223" s="67"/>
      <c r="D223" s="67"/>
      <c r="E223" s="199"/>
      <c r="F223" s="64" t="n">
        <v>3</v>
      </c>
      <c r="G223" s="64" t="n">
        <v>3</v>
      </c>
      <c r="H223" s="64" t="n">
        <v>2</v>
      </c>
      <c r="I223" s="64" t="n">
        <f aca="false">ROUND(15*RaceArmorWeight,0)</f>
        <v>15</v>
      </c>
      <c r="J223" s="64" t="n">
        <v>0</v>
      </c>
      <c r="K223" s="66" t="n">
        <f aca="false">ROUND(150*RaceArmorCost,0)</f>
        <v>150</v>
      </c>
      <c r="M223" s="166" t="s">
        <v>590</v>
      </c>
      <c r="N223" s="67"/>
      <c r="O223" s="67"/>
      <c r="P223" s="65" t="s">
        <v>219</v>
      </c>
      <c r="Q223" s="64" t="n">
        <v>3</v>
      </c>
      <c r="R223" s="64" t="n">
        <v>2</v>
      </c>
      <c r="S223" s="64" t="n">
        <v>1000</v>
      </c>
      <c r="T223" s="66" t="n">
        <v>1</v>
      </c>
      <c r="CL223" s="0"/>
    </row>
    <row r="224" s="32" customFormat="true" ht="12.75" hidden="false" customHeight="false" outlineLevel="0" collapsed="false">
      <c r="B224" s="183" t="s">
        <v>591</v>
      </c>
      <c r="C224" s="184"/>
      <c r="D224" s="184"/>
      <c r="E224" s="65"/>
      <c r="F224" s="182" t="n">
        <v>5</v>
      </c>
      <c r="G224" s="182" t="n">
        <v>0</v>
      </c>
      <c r="H224" s="182" t="n">
        <v>2</v>
      </c>
      <c r="I224" s="182" t="n">
        <f aca="false">ROUND(15*RaceArmorWeight,0)</f>
        <v>15</v>
      </c>
      <c r="J224" s="182" t="n">
        <v>0</v>
      </c>
      <c r="K224" s="126" t="n">
        <f aca="false">ROUND(50*RaceArmorCost,0)</f>
        <v>50</v>
      </c>
      <c r="M224" s="166" t="s">
        <v>592</v>
      </c>
      <c r="N224" s="67"/>
      <c r="O224" s="67"/>
      <c r="P224" s="65"/>
      <c r="Q224" s="64" t="n">
        <v>3</v>
      </c>
      <c r="R224" s="64" t="n">
        <v>3</v>
      </c>
      <c r="S224" s="64" t="n">
        <v>500</v>
      </c>
      <c r="T224" s="66" t="n">
        <v>0</v>
      </c>
      <c r="CL224" s="0"/>
    </row>
    <row r="225" s="32" customFormat="true" ht="12.8" hidden="false" customHeight="false" outlineLevel="0" collapsed="false">
      <c r="B225" s="166" t="s">
        <v>593</v>
      </c>
      <c r="C225" s="166"/>
      <c r="D225" s="166"/>
      <c r="E225" s="65" t="s">
        <v>219</v>
      </c>
      <c r="F225" s="64" t="n">
        <v>9</v>
      </c>
      <c r="G225" s="64" t="n">
        <v>0</v>
      </c>
      <c r="H225" s="64" t="n">
        <v>0</v>
      </c>
      <c r="I225" s="64" t="n">
        <f aca="false">ROUND(20*RaceArmorWeight,0)</f>
        <v>20</v>
      </c>
      <c r="J225" s="64" t="n">
        <v>0</v>
      </c>
      <c r="K225" s="66" t="n">
        <f aca="false">ROUND(20*RaceArmorCost,0)</f>
        <v>20</v>
      </c>
      <c r="M225" s="166" t="s">
        <v>594</v>
      </c>
      <c r="N225" s="67"/>
      <c r="O225" s="67"/>
      <c r="P225" s="65"/>
      <c r="Q225" s="64" t="n">
        <v>1</v>
      </c>
      <c r="R225" s="64" t="n">
        <v>2</v>
      </c>
      <c r="S225" s="64" t="n">
        <v>1000</v>
      </c>
      <c r="T225" s="66" t="n">
        <v>1</v>
      </c>
      <c r="CL225" s="0"/>
    </row>
    <row r="226" s="32" customFormat="true" ht="12.75" hidden="false" customHeight="false" outlineLevel="0" collapsed="false">
      <c r="B226" s="166"/>
      <c r="C226" s="67"/>
      <c r="D226" s="67"/>
      <c r="E226" s="65"/>
      <c r="F226" s="64"/>
      <c r="G226" s="64"/>
      <c r="H226" s="64"/>
      <c r="I226" s="64"/>
      <c r="J226" s="64"/>
      <c r="K226" s="66"/>
      <c r="M226" s="166" t="s">
        <v>595</v>
      </c>
      <c r="N226" s="67"/>
      <c r="O226" s="67"/>
      <c r="P226" s="65"/>
      <c r="Q226" s="64" t="n">
        <v>2</v>
      </c>
      <c r="R226" s="64" t="n">
        <v>0</v>
      </c>
      <c r="S226" s="64" t="n">
        <v>100</v>
      </c>
      <c r="T226" s="66" t="n">
        <v>1</v>
      </c>
      <c r="CL226" s="0"/>
    </row>
    <row r="227" s="32" customFormat="true" ht="12.75" hidden="false" customHeight="false" outlineLevel="0" collapsed="false">
      <c r="B227" s="166"/>
      <c r="C227" s="67"/>
      <c r="D227" s="67"/>
      <c r="E227" s="65"/>
      <c r="F227" s="64"/>
      <c r="G227" s="64"/>
      <c r="H227" s="64"/>
      <c r="I227" s="64"/>
      <c r="J227" s="64"/>
      <c r="K227" s="66"/>
      <c r="M227" s="166" t="s">
        <v>596</v>
      </c>
      <c r="N227" s="67"/>
      <c r="O227" s="67"/>
      <c r="P227" s="65"/>
      <c r="Q227" s="64" t="n">
        <v>2</v>
      </c>
      <c r="R227" s="64" t="n">
        <v>2</v>
      </c>
      <c r="S227" s="64" t="n">
        <v>300</v>
      </c>
      <c r="T227" s="66" t="n">
        <v>0</v>
      </c>
      <c r="CL227" s="0"/>
    </row>
    <row r="228" s="32" customFormat="true" ht="12.75" hidden="false" customHeight="false" outlineLevel="0" collapsed="false">
      <c r="B228" s="166"/>
      <c r="C228" s="67"/>
      <c r="D228" s="67"/>
      <c r="E228" s="65"/>
      <c r="F228" s="64"/>
      <c r="G228" s="64"/>
      <c r="H228" s="64"/>
      <c r="I228" s="64"/>
      <c r="J228" s="64"/>
      <c r="K228" s="66"/>
      <c r="M228" s="166" t="s">
        <v>597</v>
      </c>
      <c r="N228" s="67"/>
      <c r="O228" s="67"/>
      <c r="P228" s="65"/>
      <c r="Q228" s="64" t="n">
        <v>2</v>
      </c>
      <c r="R228" s="64" t="n">
        <v>1</v>
      </c>
      <c r="S228" s="64" t="n">
        <v>300</v>
      </c>
      <c r="T228" s="66" t="n">
        <v>1</v>
      </c>
      <c r="CL228" s="0"/>
    </row>
    <row r="229" s="32" customFormat="true" ht="12.75" hidden="false" customHeight="false" outlineLevel="0" collapsed="false">
      <c r="B229" s="166"/>
      <c r="C229" s="67"/>
      <c r="D229" s="67"/>
      <c r="E229" s="65"/>
      <c r="F229" s="64"/>
      <c r="G229" s="64"/>
      <c r="H229" s="64"/>
      <c r="I229" s="64"/>
      <c r="J229" s="64"/>
      <c r="K229" s="66"/>
      <c r="M229" s="166" t="s">
        <v>598</v>
      </c>
      <c r="N229" s="67"/>
      <c r="O229" s="67"/>
      <c r="P229" s="65"/>
      <c r="Q229" s="64" t="n">
        <v>2</v>
      </c>
      <c r="R229" s="64" t="n">
        <v>0</v>
      </c>
      <c r="S229" s="64" t="n">
        <v>450</v>
      </c>
      <c r="T229" s="66" t="n">
        <v>1</v>
      </c>
      <c r="CL229" s="0"/>
    </row>
    <row r="230" s="32" customFormat="true" ht="12.75" hidden="false" customHeight="false" outlineLevel="0" collapsed="false">
      <c r="B230" s="183"/>
      <c r="C230" s="184"/>
      <c r="D230" s="184"/>
      <c r="E230" s="86"/>
      <c r="F230" s="182"/>
      <c r="G230" s="182"/>
      <c r="H230" s="182"/>
      <c r="I230" s="182"/>
      <c r="J230" s="182"/>
      <c r="K230" s="126"/>
      <c r="M230" s="183" t="s">
        <v>599</v>
      </c>
      <c r="N230" s="184"/>
      <c r="O230" s="184"/>
      <c r="P230" s="86"/>
      <c r="Q230" s="182" t="n">
        <v>2</v>
      </c>
      <c r="R230" s="182" t="n">
        <v>1</v>
      </c>
      <c r="S230" s="182" t="n">
        <v>450</v>
      </c>
      <c r="T230" s="126" t="n">
        <v>1</v>
      </c>
      <c r="CL230" s="0"/>
    </row>
    <row r="231" s="32" customFormat="true" ht="12.75" hidden="false" customHeight="false" outlineLevel="0" collapsed="false">
      <c r="B231" s="183"/>
      <c r="C231" s="184"/>
      <c r="D231" s="184"/>
      <c r="E231" s="86"/>
      <c r="F231" s="182"/>
      <c r="G231" s="182"/>
      <c r="H231" s="182"/>
      <c r="I231" s="182"/>
      <c r="J231" s="182"/>
      <c r="K231" s="126"/>
      <c r="M231" s="183" t="s">
        <v>600</v>
      </c>
      <c r="N231" s="184"/>
      <c r="O231" s="184"/>
      <c r="P231" s="86"/>
      <c r="Q231" s="182" t="n">
        <v>3</v>
      </c>
      <c r="R231" s="182" t="n">
        <v>2</v>
      </c>
      <c r="S231" s="182" t="n">
        <v>1000</v>
      </c>
      <c r="T231" s="126" t="n">
        <v>3</v>
      </c>
      <c r="CL231" s="0"/>
    </row>
    <row r="232" s="32" customFormat="true" ht="12.75" hidden="false" customHeight="false" outlineLevel="0" collapsed="false">
      <c r="B232" s="93"/>
      <c r="C232" s="94"/>
      <c r="D232" s="94"/>
      <c r="E232" s="137"/>
      <c r="F232" s="95"/>
      <c r="G232" s="95"/>
      <c r="H232" s="95"/>
      <c r="I232" s="95"/>
      <c r="J232" s="95"/>
      <c r="K232" s="156"/>
      <c r="M232" s="166" t="s">
        <v>437</v>
      </c>
      <c r="N232" s="67"/>
      <c r="O232" s="67"/>
      <c r="P232" s="65"/>
      <c r="Q232" s="64" t="n">
        <v>3</v>
      </c>
      <c r="R232" s="64" t="n">
        <v>1</v>
      </c>
      <c r="S232" s="64" t="n">
        <v>200</v>
      </c>
      <c r="T232" s="66" t="n">
        <v>1</v>
      </c>
      <c r="CL232" s="0"/>
    </row>
    <row r="233" s="200" customFormat="true" ht="12.75" hidden="false" customHeight="false" outlineLevel="0" collapsed="false"/>
    <row r="234" s="32" customFormat="true" ht="12.75" hidden="false" customHeight="false" outlineLevel="0" collapsed="false">
      <c r="B234" s="50" t="s">
        <v>601</v>
      </c>
      <c r="C234" s="51"/>
      <c r="D234" s="51"/>
      <c r="E234" s="51" t="s">
        <v>499</v>
      </c>
      <c r="F234" s="59" t="s">
        <v>155</v>
      </c>
      <c r="H234" s="50" t="s">
        <v>601</v>
      </c>
      <c r="I234" s="51"/>
      <c r="J234" s="51"/>
      <c r="K234" s="51" t="s">
        <v>499</v>
      </c>
      <c r="L234" s="59" t="s">
        <v>155</v>
      </c>
      <c r="N234" s="50" t="s">
        <v>601</v>
      </c>
      <c r="O234" s="51"/>
      <c r="P234" s="51"/>
      <c r="Q234" s="51" t="s">
        <v>499</v>
      </c>
      <c r="R234" s="59" t="s">
        <v>155</v>
      </c>
      <c r="T234" s="50" t="s">
        <v>601</v>
      </c>
      <c r="U234" s="51"/>
      <c r="V234" s="51"/>
      <c r="W234" s="51" t="s">
        <v>499</v>
      </c>
      <c r="X234" s="59" t="s">
        <v>155</v>
      </c>
    </row>
    <row r="235" s="32" customFormat="true" ht="12.75" hidden="false" customHeight="false" outlineLevel="0" collapsed="false">
      <c r="A235" s="56"/>
      <c r="B235" s="166" t="s">
        <v>602</v>
      </c>
      <c r="C235" s="67"/>
      <c r="D235" s="67"/>
      <c r="E235" s="65"/>
      <c r="F235" s="201" t="n">
        <v>1.2</v>
      </c>
      <c r="H235" s="166" t="s">
        <v>603</v>
      </c>
      <c r="I235" s="67"/>
      <c r="J235" s="67"/>
      <c r="K235" s="65"/>
      <c r="L235" s="201" t="n">
        <v>120</v>
      </c>
      <c r="N235" s="166" t="s">
        <v>604</v>
      </c>
      <c r="O235" s="67"/>
      <c r="P235" s="67"/>
      <c r="Q235" s="65"/>
      <c r="R235" s="201" t="n">
        <v>0.4</v>
      </c>
      <c r="T235" s="166" t="s">
        <v>605</v>
      </c>
      <c r="U235" s="67"/>
      <c r="V235" s="67"/>
      <c r="W235" s="65"/>
      <c r="X235" s="201" t="n">
        <v>0.2</v>
      </c>
    </row>
    <row r="236" s="32" customFormat="true" ht="12.75" hidden="false" customHeight="false" outlineLevel="0" collapsed="false">
      <c r="B236" s="166" t="s">
        <v>606</v>
      </c>
      <c r="C236" s="67"/>
      <c r="D236" s="67"/>
      <c r="E236" s="65"/>
      <c r="F236" s="201" t="n">
        <v>3</v>
      </c>
      <c r="H236" s="166" t="s">
        <v>607</v>
      </c>
      <c r="I236" s="67"/>
      <c r="J236" s="67"/>
      <c r="K236" s="65" t="s">
        <v>219</v>
      </c>
      <c r="L236" s="201" t="n">
        <v>350</v>
      </c>
      <c r="N236" s="166" t="s">
        <v>608</v>
      </c>
      <c r="O236" s="67"/>
      <c r="P236" s="67"/>
      <c r="Q236" s="65"/>
      <c r="R236" s="201" t="n">
        <v>1.2</v>
      </c>
      <c r="T236" s="166" t="s">
        <v>609</v>
      </c>
      <c r="U236" s="67"/>
      <c r="V236" s="67"/>
      <c r="W236" s="65" t="s">
        <v>219</v>
      </c>
      <c r="X236" s="201" t="n">
        <v>1</v>
      </c>
    </row>
    <row r="237" s="32" customFormat="true" ht="12.75" hidden="false" customHeight="false" outlineLevel="0" collapsed="false">
      <c r="B237" s="166" t="s">
        <v>610</v>
      </c>
      <c r="C237" s="67"/>
      <c r="D237" s="67"/>
      <c r="E237" s="65" t="s">
        <v>219</v>
      </c>
      <c r="F237" s="201" t="n">
        <v>8</v>
      </c>
      <c r="H237" s="166" t="s">
        <v>611</v>
      </c>
      <c r="I237" s="67"/>
      <c r="J237" s="67"/>
      <c r="K237" s="65" t="s">
        <v>219</v>
      </c>
      <c r="L237" s="201" t="n">
        <v>5</v>
      </c>
      <c r="N237" s="166" t="s">
        <v>612</v>
      </c>
      <c r="O237" s="67"/>
      <c r="P237" s="67"/>
      <c r="Q237" s="65"/>
      <c r="R237" s="201" t="n">
        <v>35</v>
      </c>
      <c r="T237" s="166" t="s">
        <v>613</v>
      </c>
      <c r="U237" s="67"/>
      <c r="V237" s="67"/>
      <c r="W237" s="65"/>
      <c r="X237" s="201" t="n">
        <v>45</v>
      </c>
    </row>
    <row r="238" s="32" customFormat="true" ht="12.75" hidden="false" customHeight="false" outlineLevel="0" collapsed="false">
      <c r="B238" s="166" t="s">
        <v>614</v>
      </c>
      <c r="C238" s="67"/>
      <c r="D238" s="67"/>
      <c r="E238" s="65"/>
      <c r="F238" s="201" t="n">
        <v>9</v>
      </c>
      <c r="H238" s="166" t="s">
        <v>615</v>
      </c>
      <c r="I238" s="67"/>
      <c r="J238" s="67"/>
      <c r="K238" s="65"/>
      <c r="L238" s="201" t="n">
        <v>14</v>
      </c>
      <c r="N238" s="166" t="s">
        <v>616</v>
      </c>
      <c r="O238" s="67"/>
      <c r="P238" s="67"/>
      <c r="Q238" s="65" t="s">
        <v>219</v>
      </c>
      <c r="R238" s="201" t="n">
        <v>9</v>
      </c>
      <c r="T238" s="166" t="s">
        <v>617</v>
      </c>
      <c r="U238" s="67"/>
      <c r="V238" s="67"/>
      <c r="W238" s="65"/>
      <c r="X238" s="201" t="n">
        <v>2</v>
      </c>
    </row>
    <row r="239" s="32" customFormat="true" ht="12.75" hidden="false" customHeight="false" outlineLevel="0" collapsed="false">
      <c r="B239" s="166" t="s">
        <v>618</v>
      </c>
      <c r="C239" s="67"/>
      <c r="D239" s="67"/>
      <c r="E239" s="65"/>
      <c r="F239" s="201" t="n">
        <v>40</v>
      </c>
      <c r="H239" s="166" t="s">
        <v>619</v>
      </c>
      <c r="I239" s="67"/>
      <c r="J239" s="67"/>
      <c r="K239" s="65"/>
      <c r="L239" s="201" t="n">
        <v>50</v>
      </c>
      <c r="N239" s="166" t="s">
        <v>620</v>
      </c>
      <c r="O239" s="67"/>
      <c r="P239" s="67"/>
      <c r="Q239" s="65"/>
      <c r="R239" s="201" t="n">
        <v>18</v>
      </c>
      <c r="T239" s="166" t="s">
        <v>621</v>
      </c>
      <c r="U239" s="67"/>
      <c r="V239" s="67"/>
      <c r="W239" s="65"/>
      <c r="X239" s="201" t="n">
        <v>40</v>
      </c>
    </row>
    <row r="240" s="32" customFormat="true" ht="12.75" hidden="false" customHeight="false" outlineLevel="0" collapsed="false">
      <c r="B240" s="166" t="s">
        <v>622</v>
      </c>
      <c r="C240" s="67"/>
      <c r="D240" s="67"/>
      <c r="E240" s="65"/>
      <c r="F240" s="201" t="n">
        <v>50</v>
      </c>
      <c r="H240" s="166" t="s">
        <v>623</v>
      </c>
      <c r="I240" s="67"/>
      <c r="J240" s="67"/>
      <c r="K240" s="65"/>
      <c r="L240" s="201" t="n">
        <v>200</v>
      </c>
      <c r="N240" s="166" t="s">
        <v>624</v>
      </c>
      <c r="O240" s="67"/>
      <c r="P240" s="67"/>
      <c r="Q240" s="65"/>
      <c r="R240" s="201" t="n">
        <v>3</v>
      </c>
      <c r="T240" s="166" t="s">
        <v>625</v>
      </c>
      <c r="U240" s="67"/>
      <c r="V240" s="67"/>
      <c r="W240" s="65"/>
      <c r="X240" s="201" t="n">
        <v>5</v>
      </c>
    </row>
    <row r="241" s="32" customFormat="true" ht="12.75" hidden="false" customHeight="false" outlineLevel="0" collapsed="false">
      <c r="B241" s="166" t="s">
        <v>626</v>
      </c>
      <c r="C241" s="67"/>
      <c r="D241" s="67"/>
      <c r="E241" s="65"/>
      <c r="F241" s="201" t="n">
        <v>0.5</v>
      </c>
      <c r="H241" s="166" t="s">
        <v>627</v>
      </c>
      <c r="I241" s="67"/>
      <c r="J241" s="67"/>
      <c r="K241" s="65"/>
      <c r="L241" s="201" t="n">
        <v>275</v>
      </c>
      <c r="N241" s="166" t="s">
        <v>628</v>
      </c>
      <c r="O241" s="67"/>
      <c r="P241" s="67"/>
      <c r="Q241" s="65"/>
      <c r="R241" s="201" t="n">
        <v>0.5</v>
      </c>
      <c r="T241" s="166" t="s">
        <v>629</v>
      </c>
      <c r="U241" s="67"/>
      <c r="V241" s="67"/>
      <c r="W241" s="65" t="s">
        <v>219</v>
      </c>
      <c r="X241" s="201" t="n">
        <v>5</v>
      </c>
    </row>
    <row r="242" s="32" customFormat="true" ht="12.75" hidden="false" customHeight="false" outlineLevel="0" collapsed="false">
      <c r="B242" s="166" t="s">
        <v>630</v>
      </c>
      <c r="C242" s="67"/>
      <c r="D242" s="67"/>
      <c r="E242" s="65"/>
      <c r="F242" s="201" t="n">
        <v>1</v>
      </c>
      <c r="H242" s="166" t="s">
        <v>631</v>
      </c>
      <c r="I242" s="67"/>
      <c r="J242" s="67"/>
      <c r="K242" s="65"/>
      <c r="L242" s="201" t="n">
        <v>380</v>
      </c>
      <c r="N242" s="166" t="s">
        <v>632</v>
      </c>
      <c r="O242" s="67"/>
      <c r="P242" s="67"/>
      <c r="Q242" s="65"/>
      <c r="R242" s="201" t="n">
        <v>20</v>
      </c>
      <c r="T242" s="166" t="s">
        <v>633</v>
      </c>
      <c r="U242" s="67"/>
      <c r="V242" s="67"/>
      <c r="W242" s="65"/>
      <c r="X242" s="201" t="n">
        <v>0.6</v>
      </c>
    </row>
    <row r="243" s="32" customFormat="true" ht="12.75" hidden="false" customHeight="false" outlineLevel="0" collapsed="false">
      <c r="B243" s="166" t="s">
        <v>634</v>
      </c>
      <c r="C243" s="67"/>
      <c r="D243" s="67"/>
      <c r="E243" s="65"/>
      <c r="F243" s="201" t="n">
        <v>4</v>
      </c>
      <c r="H243" s="166" t="s">
        <v>635</v>
      </c>
      <c r="I243" s="67"/>
      <c r="J243" s="67"/>
      <c r="K243" s="65"/>
      <c r="L243" s="201" t="n">
        <v>2</v>
      </c>
      <c r="N243" s="173" t="s">
        <v>636</v>
      </c>
      <c r="O243" s="174"/>
      <c r="P243" s="174"/>
      <c r="Q243" s="65"/>
      <c r="R243" s="202" t="n">
        <v>12</v>
      </c>
      <c r="T243" s="166" t="s">
        <v>637</v>
      </c>
      <c r="U243" s="67"/>
      <c r="V243" s="67"/>
      <c r="W243" s="65"/>
      <c r="X243" s="201" t="n">
        <v>0.4</v>
      </c>
    </row>
    <row r="244" s="32" customFormat="true" ht="12.75" hidden="false" customHeight="false" outlineLevel="0" collapsed="false">
      <c r="B244" s="166" t="s">
        <v>638</v>
      </c>
      <c r="C244" s="67"/>
      <c r="D244" s="67"/>
      <c r="E244" s="65"/>
      <c r="F244" s="201" t="n">
        <v>8</v>
      </c>
      <c r="H244" s="166" t="s">
        <v>639</v>
      </c>
      <c r="I244" s="67"/>
      <c r="J244" s="67"/>
      <c r="K244" s="65"/>
      <c r="L244" s="201" t="n">
        <v>7</v>
      </c>
      <c r="N244" s="166" t="s">
        <v>640</v>
      </c>
      <c r="O244" s="67"/>
      <c r="P244" s="67"/>
      <c r="Q244" s="65"/>
      <c r="R244" s="201" t="n">
        <v>90</v>
      </c>
      <c r="T244" s="203"/>
      <c r="U244" s="69"/>
      <c r="V244" s="69"/>
      <c r="W244" s="65"/>
      <c r="X244" s="204"/>
    </row>
    <row r="245" s="32" customFormat="true" ht="12.75" hidden="false" customHeight="false" outlineLevel="0" collapsed="false">
      <c r="B245" s="166" t="s">
        <v>641</v>
      </c>
      <c r="C245" s="67"/>
      <c r="D245" s="67"/>
      <c r="E245" s="65"/>
      <c r="F245" s="201" t="n">
        <v>0.4</v>
      </c>
      <c r="H245" s="166" t="s">
        <v>642</v>
      </c>
      <c r="I245" s="67"/>
      <c r="J245" s="67"/>
      <c r="K245" s="65"/>
      <c r="L245" s="201" t="n">
        <v>22</v>
      </c>
      <c r="N245" s="166" t="s">
        <v>643</v>
      </c>
      <c r="O245" s="67"/>
      <c r="P245" s="67"/>
      <c r="Q245" s="65"/>
      <c r="R245" s="201" t="n">
        <v>170</v>
      </c>
      <c r="T245" s="203"/>
      <c r="U245" s="69"/>
      <c r="V245" s="69"/>
      <c r="W245" s="65"/>
      <c r="X245" s="204"/>
    </row>
    <row r="246" s="32" customFormat="true" ht="12.75" hidden="false" customHeight="false" outlineLevel="0" collapsed="false">
      <c r="B246" s="166" t="s">
        <v>644</v>
      </c>
      <c r="C246" s="67"/>
      <c r="D246" s="67"/>
      <c r="E246" s="65"/>
      <c r="F246" s="201" t="n">
        <v>1</v>
      </c>
      <c r="H246" s="166" t="s">
        <v>645</v>
      </c>
      <c r="I246" s="67"/>
      <c r="J246" s="67"/>
      <c r="K246" s="65"/>
      <c r="L246" s="201" t="n">
        <v>100</v>
      </c>
      <c r="N246" s="166" t="s">
        <v>646</v>
      </c>
      <c r="O246" s="67"/>
      <c r="P246" s="67"/>
      <c r="Q246" s="65"/>
      <c r="R246" s="201" t="n">
        <v>1</v>
      </c>
      <c r="T246" s="203"/>
      <c r="U246" s="69"/>
      <c r="V246" s="69"/>
      <c r="W246" s="65"/>
      <c r="X246" s="204"/>
    </row>
    <row r="247" s="32" customFormat="true" ht="12.75" hidden="false" customHeight="false" outlineLevel="0" collapsed="false">
      <c r="B247" s="166" t="s">
        <v>647</v>
      </c>
      <c r="C247" s="67"/>
      <c r="D247" s="67"/>
      <c r="E247" s="65"/>
      <c r="F247" s="201" t="n">
        <v>7</v>
      </c>
      <c r="H247" s="166" t="s">
        <v>648</v>
      </c>
      <c r="I247" s="67"/>
      <c r="J247" s="67"/>
      <c r="K247" s="65"/>
      <c r="L247" s="201" t="n">
        <v>250</v>
      </c>
      <c r="N247" s="166" t="s">
        <v>649</v>
      </c>
      <c r="O247" s="67"/>
      <c r="P247" s="67"/>
      <c r="Q247" s="65"/>
      <c r="R247" s="201" t="n">
        <v>1.5</v>
      </c>
      <c r="T247" s="203"/>
      <c r="U247" s="69"/>
      <c r="V247" s="69"/>
      <c r="W247" s="65"/>
      <c r="X247" s="204"/>
    </row>
    <row r="248" s="32" customFormat="true" ht="12.75" hidden="false" customHeight="false" outlineLevel="0" collapsed="false">
      <c r="B248" s="166" t="s">
        <v>650</v>
      </c>
      <c r="C248" s="67"/>
      <c r="D248" s="67"/>
      <c r="E248" s="65"/>
      <c r="F248" s="201" t="n">
        <v>2</v>
      </c>
      <c r="H248" s="166" t="s">
        <v>651</v>
      </c>
      <c r="I248" s="67"/>
      <c r="J248" s="67"/>
      <c r="K248" s="65"/>
      <c r="L248" s="201" t="n">
        <v>560</v>
      </c>
      <c r="N248" s="166" t="s">
        <v>652</v>
      </c>
      <c r="O248" s="67"/>
      <c r="P248" s="67"/>
      <c r="Q248" s="65"/>
      <c r="R248" s="201" t="n">
        <v>15</v>
      </c>
      <c r="T248" s="203"/>
      <c r="U248" s="69"/>
      <c r="V248" s="69"/>
      <c r="W248" s="65"/>
      <c r="X248" s="204"/>
    </row>
    <row r="249" s="32" customFormat="true" ht="12.75" hidden="false" customHeight="false" outlineLevel="0" collapsed="false">
      <c r="B249" s="166" t="s">
        <v>653</v>
      </c>
      <c r="C249" s="67"/>
      <c r="D249" s="67"/>
      <c r="E249" s="65"/>
      <c r="F249" s="201" t="n">
        <v>12</v>
      </c>
      <c r="H249" s="166" t="s">
        <v>654</v>
      </c>
      <c r="I249" s="67"/>
      <c r="J249" s="67"/>
      <c r="K249" s="65"/>
      <c r="L249" s="201" t="n">
        <v>2</v>
      </c>
      <c r="N249" s="173" t="s">
        <v>655</v>
      </c>
      <c r="O249" s="174"/>
      <c r="P249" s="174"/>
      <c r="Q249" s="65"/>
      <c r="R249" s="202" t="n">
        <v>80</v>
      </c>
      <c r="T249" s="203"/>
      <c r="U249" s="69"/>
      <c r="V249" s="69"/>
      <c r="W249" s="65"/>
      <c r="X249" s="204"/>
    </row>
    <row r="250" s="32" customFormat="true" ht="12.75" hidden="false" customHeight="false" outlineLevel="0" collapsed="false">
      <c r="B250" s="93" t="s">
        <v>656</v>
      </c>
      <c r="C250" s="94"/>
      <c r="D250" s="94"/>
      <c r="E250" s="137"/>
      <c r="F250" s="205" t="n">
        <v>15</v>
      </c>
      <c r="H250" s="93" t="s">
        <v>657</v>
      </c>
      <c r="I250" s="94"/>
      <c r="J250" s="94"/>
      <c r="K250" s="137"/>
      <c r="L250" s="205" t="n">
        <v>140</v>
      </c>
      <c r="N250" s="93" t="s">
        <v>658</v>
      </c>
      <c r="O250" s="94"/>
      <c r="P250" s="94"/>
      <c r="Q250" s="137"/>
      <c r="R250" s="205" t="n">
        <v>0.2</v>
      </c>
      <c r="T250" s="206"/>
      <c r="U250" s="164"/>
      <c r="V250" s="164"/>
      <c r="W250" s="137"/>
      <c r="X250" s="207"/>
    </row>
    <row r="251" s="32" customFormat="true" ht="12.75" hidden="false" customHeight="false" outlineLevel="0" collapsed="false"/>
    <row r="252" s="32" customFormat="true" ht="12.75" hidden="false" customHeight="false" outlineLevel="0" collapsed="false">
      <c r="B252" s="50" t="s">
        <v>659</v>
      </c>
      <c r="C252" s="51"/>
      <c r="D252" s="51"/>
      <c r="E252" s="51"/>
      <c r="F252" s="58" t="s">
        <v>660</v>
      </c>
      <c r="G252" s="58" t="s">
        <v>155</v>
      </c>
      <c r="H252" s="59" t="s">
        <v>496</v>
      </c>
      <c r="J252" s="50" t="s">
        <v>661</v>
      </c>
      <c r="K252" s="51"/>
      <c r="L252" s="51"/>
      <c r="M252" s="51"/>
      <c r="N252" s="58" t="s">
        <v>660</v>
      </c>
      <c r="O252" s="58" t="s">
        <v>155</v>
      </c>
      <c r="P252" s="59" t="s">
        <v>496</v>
      </c>
      <c r="R252" s="208" t="s">
        <v>662</v>
      </c>
      <c r="S252" s="51"/>
      <c r="T252" s="51"/>
      <c r="U252" s="51"/>
      <c r="V252" s="51"/>
      <c r="W252" s="58" t="s">
        <v>155</v>
      </c>
      <c r="X252" s="59" t="s">
        <v>496</v>
      </c>
      <c r="Z252" s="209"/>
      <c r="AA252" s="56"/>
      <c r="AB252" s="56"/>
      <c r="AC252" s="56"/>
      <c r="AD252" s="42"/>
      <c r="AE252" s="42"/>
      <c r="AF252" s="44"/>
    </row>
    <row r="253" s="32" customFormat="true" ht="12.75" hidden="false" customHeight="false" outlineLevel="0" collapsed="false">
      <c r="B253" s="166" t="s">
        <v>663</v>
      </c>
      <c r="C253" s="67"/>
      <c r="D253" s="67"/>
      <c r="E253" s="67"/>
      <c r="F253" s="65" t="n">
        <v>0</v>
      </c>
      <c r="G253" s="64" t="n">
        <v>15</v>
      </c>
      <c r="H253" s="201" t="n">
        <v>14</v>
      </c>
      <c r="J253" s="166" t="s">
        <v>664</v>
      </c>
      <c r="K253" s="67"/>
      <c r="L253" s="67"/>
      <c r="M253" s="67"/>
      <c r="N253" s="65" t="n">
        <v>0</v>
      </c>
      <c r="O253" s="64" t="n">
        <v>10</v>
      </c>
      <c r="P253" s="201" t="n">
        <v>8</v>
      </c>
      <c r="R253" s="166" t="s">
        <v>665</v>
      </c>
      <c r="S253" s="67"/>
      <c r="T253" s="67"/>
      <c r="U253" s="67"/>
      <c r="V253" s="65"/>
      <c r="W253" s="64" t="n">
        <v>15</v>
      </c>
      <c r="X253" s="201" t="n">
        <v>3</v>
      </c>
      <c r="Z253" s="210"/>
      <c r="AA253" s="56"/>
      <c r="AB253" s="56"/>
      <c r="AC253" s="56"/>
      <c r="AD253" s="42"/>
      <c r="AE253" s="42"/>
      <c r="AF253" s="44"/>
    </row>
    <row r="254" s="32" customFormat="true" ht="12.75" hidden="false" customHeight="false" outlineLevel="0" collapsed="false">
      <c r="B254" s="166" t="s">
        <v>666</v>
      </c>
      <c r="C254" s="67"/>
      <c r="D254" s="67"/>
      <c r="E254" s="67"/>
      <c r="F254" s="65"/>
      <c r="G254" s="64" t="n">
        <v>40</v>
      </c>
      <c r="H254" s="201" t="n">
        <v>34</v>
      </c>
      <c r="J254" s="166" t="s">
        <v>667</v>
      </c>
      <c r="K254" s="67"/>
      <c r="L254" s="67"/>
      <c r="M254" s="67"/>
      <c r="N254" s="65"/>
      <c r="O254" s="64" t="n">
        <v>25</v>
      </c>
      <c r="P254" s="201" t="n">
        <v>6</v>
      </c>
      <c r="R254" s="166" t="s">
        <v>668</v>
      </c>
      <c r="S254" s="67"/>
      <c r="T254" s="67"/>
      <c r="U254" s="67"/>
      <c r="V254" s="65"/>
      <c r="W254" s="64" t="n">
        <v>25</v>
      </c>
      <c r="X254" s="201" t="n">
        <v>1</v>
      </c>
      <c r="Z254" s="210"/>
      <c r="AA254" s="56"/>
      <c r="AB254" s="56"/>
      <c r="AC254" s="56"/>
      <c r="AD254" s="42"/>
      <c r="AE254" s="42"/>
      <c r="AF254" s="44"/>
    </row>
    <row r="255" s="32" customFormat="true" ht="12.75" hidden="false" customHeight="false" outlineLevel="0" collapsed="false">
      <c r="B255" s="166" t="s">
        <v>669</v>
      </c>
      <c r="C255" s="67"/>
      <c r="D255" s="67"/>
      <c r="E255" s="67"/>
      <c r="F255" s="65" t="n">
        <v>1</v>
      </c>
      <c r="G255" s="64" t="n">
        <v>5</v>
      </c>
      <c r="H255" s="201" t="n">
        <v>3</v>
      </c>
      <c r="J255" s="166" t="s">
        <v>670</v>
      </c>
      <c r="K255" s="67"/>
      <c r="L255" s="67"/>
      <c r="M255" s="67"/>
      <c r="N255" s="65"/>
      <c r="O255" s="64" t="n">
        <v>0.5</v>
      </c>
      <c r="P255" s="201" t="n">
        <v>1</v>
      </c>
      <c r="R255" s="166" t="s">
        <v>671</v>
      </c>
      <c r="S255" s="67"/>
      <c r="T255" s="67"/>
      <c r="U255" s="67"/>
      <c r="V255" s="65"/>
      <c r="W255" s="64" t="n">
        <v>45</v>
      </c>
      <c r="X255" s="201" t="n">
        <v>2</v>
      </c>
      <c r="Z255" s="210"/>
      <c r="AA255" s="56"/>
      <c r="AB255" s="56"/>
      <c r="AC255" s="56"/>
      <c r="AD255" s="42"/>
      <c r="AE255" s="42"/>
      <c r="AF255" s="44"/>
    </row>
    <row r="256" s="32" customFormat="true" ht="12.75" hidden="false" customHeight="false" outlineLevel="0" collapsed="false">
      <c r="B256" s="166" t="s">
        <v>672</v>
      </c>
      <c r="C256" s="67"/>
      <c r="D256" s="67"/>
      <c r="E256" s="67"/>
      <c r="F256" s="65" t="n">
        <v>1</v>
      </c>
      <c r="G256" s="64" t="n">
        <v>5</v>
      </c>
      <c r="H256" s="201" t="n">
        <v>4</v>
      </c>
      <c r="J256" s="166" t="s">
        <v>673</v>
      </c>
      <c r="K256" s="67"/>
      <c r="L256" s="67"/>
      <c r="M256" s="67"/>
      <c r="N256" s="65"/>
      <c r="O256" s="64" t="n">
        <v>5</v>
      </c>
      <c r="P256" s="201" t="n">
        <v>1</v>
      </c>
      <c r="R256" s="166" t="s">
        <v>674</v>
      </c>
      <c r="S256" s="67"/>
      <c r="T256" s="67"/>
      <c r="U256" s="67"/>
      <c r="V256" s="65" t="n">
        <v>1</v>
      </c>
      <c r="W256" s="64" t="n">
        <v>30</v>
      </c>
      <c r="X256" s="201" t="n">
        <v>3</v>
      </c>
      <c r="Z256" s="210"/>
      <c r="AA256" s="56"/>
      <c r="AB256" s="56"/>
      <c r="AC256" s="56"/>
      <c r="AD256" s="42"/>
      <c r="AE256" s="42"/>
      <c r="AF256" s="44"/>
    </row>
    <row r="257" s="32" customFormat="true" ht="12.75" hidden="false" customHeight="false" outlineLevel="0" collapsed="false">
      <c r="B257" s="166" t="s">
        <v>675</v>
      </c>
      <c r="C257" s="67"/>
      <c r="D257" s="67"/>
      <c r="E257" s="67"/>
      <c r="F257" s="65"/>
      <c r="G257" s="64" t="n">
        <v>0.8</v>
      </c>
      <c r="H257" s="201" t="n">
        <v>1</v>
      </c>
      <c r="J257" s="166" t="s">
        <v>676</v>
      </c>
      <c r="K257" s="67"/>
      <c r="L257" s="67"/>
      <c r="M257" s="67"/>
      <c r="N257" s="65"/>
      <c r="O257" s="64" t="n">
        <v>2</v>
      </c>
      <c r="P257" s="201" t="n">
        <v>4</v>
      </c>
      <c r="R257" s="166" t="s">
        <v>677</v>
      </c>
      <c r="S257" s="67"/>
      <c r="T257" s="67"/>
      <c r="U257" s="67"/>
      <c r="V257" s="65"/>
      <c r="W257" s="64" t="n">
        <v>0.2</v>
      </c>
      <c r="X257" s="201" t="n">
        <v>1</v>
      </c>
      <c r="Z257" s="210"/>
      <c r="AA257" s="56"/>
      <c r="AB257" s="56"/>
      <c r="AC257" s="56"/>
      <c r="AD257" s="42"/>
      <c r="AE257" s="42"/>
      <c r="AF257" s="44"/>
    </row>
    <row r="258" s="32" customFormat="true" ht="12.75" hidden="false" customHeight="false" outlineLevel="0" collapsed="false">
      <c r="B258" s="166" t="s">
        <v>678</v>
      </c>
      <c r="C258" s="67"/>
      <c r="D258" s="67"/>
      <c r="E258" s="67"/>
      <c r="F258" s="65" t="n">
        <v>1</v>
      </c>
      <c r="G258" s="64" t="n">
        <v>1.5</v>
      </c>
      <c r="H258" s="201" t="n">
        <v>2</v>
      </c>
      <c r="J258" s="166" t="s">
        <v>679</v>
      </c>
      <c r="K258" s="67"/>
      <c r="L258" s="67"/>
      <c r="M258" s="67"/>
      <c r="N258" s="65"/>
      <c r="O258" s="64" t="n">
        <v>2</v>
      </c>
      <c r="P258" s="201" t="n">
        <v>4</v>
      </c>
      <c r="R258" s="166" t="s">
        <v>680</v>
      </c>
      <c r="S258" s="67"/>
      <c r="T258" s="67"/>
      <c r="U258" s="67"/>
      <c r="V258" s="65"/>
      <c r="W258" s="64" t="n">
        <v>2</v>
      </c>
      <c r="X258" s="201" t="n">
        <v>2</v>
      </c>
      <c r="Z258" s="210"/>
      <c r="AA258" s="56"/>
      <c r="AB258" s="56"/>
      <c r="AC258" s="56"/>
      <c r="AD258" s="42"/>
      <c r="AE258" s="42"/>
      <c r="AF258" s="44"/>
    </row>
    <row r="259" s="32" customFormat="true" ht="12.75" hidden="false" customHeight="false" outlineLevel="0" collapsed="false">
      <c r="B259" s="166" t="s">
        <v>681</v>
      </c>
      <c r="C259" s="67"/>
      <c r="D259" s="67"/>
      <c r="E259" s="67"/>
      <c r="F259" s="65"/>
      <c r="G259" s="64" t="n">
        <v>0.3</v>
      </c>
      <c r="H259" s="201" t="n">
        <v>0.3</v>
      </c>
      <c r="J259" s="211"/>
      <c r="K259" s="212"/>
      <c r="L259" s="212"/>
      <c r="M259" s="213"/>
      <c r="N259" s="213"/>
      <c r="O259" s="86"/>
      <c r="P259" s="185"/>
      <c r="R259" s="166" t="s">
        <v>682</v>
      </c>
      <c r="S259" s="67"/>
      <c r="T259" s="67"/>
      <c r="U259" s="67"/>
      <c r="V259" s="65"/>
      <c r="W259" s="64" t="n">
        <v>7</v>
      </c>
      <c r="X259" s="201" t="n">
        <v>5</v>
      </c>
      <c r="Z259" s="56"/>
      <c r="AA259" s="56"/>
      <c r="AB259" s="56"/>
      <c r="AC259" s="56"/>
      <c r="AD259" s="56"/>
      <c r="AE259" s="56"/>
      <c r="AF259" s="56"/>
    </row>
    <row r="260" s="32" customFormat="true" ht="12.75" hidden="false" customHeight="false" outlineLevel="0" collapsed="false">
      <c r="B260" s="166" t="s">
        <v>683</v>
      </c>
      <c r="C260" s="67"/>
      <c r="D260" s="67"/>
      <c r="E260" s="67"/>
      <c r="F260" s="65"/>
      <c r="G260" s="64" t="n">
        <v>10</v>
      </c>
      <c r="H260" s="201" t="n">
        <v>6</v>
      </c>
      <c r="J260" s="211"/>
      <c r="K260" s="212"/>
      <c r="L260" s="212"/>
      <c r="M260" s="213"/>
      <c r="N260" s="213"/>
      <c r="O260" s="86"/>
      <c r="P260" s="185"/>
      <c r="R260" s="166" t="s">
        <v>684</v>
      </c>
      <c r="S260" s="67"/>
      <c r="T260" s="67"/>
      <c r="U260" s="67"/>
      <c r="V260" s="65"/>
      <c r="W260" s="64" t="n">
        <v>25</v>
      </c>
      <c r="X260" s="201" t="n">
        <v>6</v>
      </c>
      <c r="Z260" s="209"/>
      <c r="AA260" s="56"/>
      <c r="AB260" s="56"/>
      <c r="AC260" s="56"/>
      <c r="AD260" s="42"/>
      <c r="AE260" s="42"/>
      <c r="AF260" s="44"/>
    </row>
    <row r="261" s="32" customFormat="true" ht="12.75" hidden="false" customHeight="false" outlineLevel="0" collapsed="false">
      <c r="B261" s="166" t="s">
        <v>685</v>
      </c>
      <c r="C261" s="67"/>
      <c r="D261" s="67"/>
      <c r="E261" s="67"/>
      <c r="F261" s="65"/>
      <c r="G261" s="64" t="n">
        <v>50</v>
      </c>
      <c r="H261" s="201" t="n">
        <v>9</v>
      </c>
      <c r="J261" s="211"/>
      <c r="K261" s="212"/>
      <c r="L261" s="212"/>
      <c r="M261" s="213"/>
      <c r="N261" s="213"/>
      <c r="O261" s="86"/>
      <c r="P261" s="185"/>
      <c r="R261" s="166" t="s">
        <v>686</v>
      </c>
      <c r="S261" s="67"/>
      <c r="T261" s="67"/>
      <c r="U261" s="67"/>
      <c r="V261" s="65"/>
      <c r="W261" s="64" t="n">
        <v>70</v>
      </c>
      <c r="X261" s="201" t="n">
        <v>7</v>
      </c>
      <c r="Z261" s="210"/>
      <c r="AA261" s="56"/>
      <c r="AB261" s="56"/>
      <c r="AC261" s="56"/>
      <c r="AD261" s="42"/>
      <c r="AE261" s="42"/>
      <c r="AF261" s="44"/>
    </row>
    <row r="262" s="32" customFormat="true" ht="12.75" hidden="false" customHeight="false" outlineLevel="0" collapsed="false">
      <c r="B262" s="166" t="s">
        <v>687</v>
      </c>
      <c r="C262" s="67"/>
      <c r="D262" s="67"/>
      <c r="E262" s="67"/>
      <c r="F262" s="65"/>
      <c r="G262" s="64" t="n">
        <v>0.3</v>
      </c>
      <c r="H262" s="201" t="n">
        <v>0.3</v>
      </c>
      <c r="J262" s="170"/>
      <c r="K262" s="164"/>
      <c r="L262" s="164"/>
      <c r="M262" s="214"/>
      <c r="N262" s="214"/>
      <c r="O262" s="137"/>
      <c r="P262" s="171"/>
      <c r="R262" s="151"/>
      <c r="S262" s="69"/>
      <c r="T262" s="69"/>
      <c r="U262" s="69"/>
      <c r="V262" s="65"/>
      <c r="W262" s="65"/>
      <c r="X262" s="88"/>
      <c r="Z262" s="210"/>
      <c r="AA262" s="56"/>
      <c r="AB262" s="56"/>
      <c r="AC262" s="56"/>
      <c r="AD262" s="42"/>
      <c r="AE262" s="42"/>
      <c r="AF262" s="44"/>
    </row>
    <row r="263" s="32" customFormat="true" ht="12.75" hidden="false" customHeight="false" outlineLevel="0" collapsed="false">
      <c r="B263" s="166" t="s">
        <v>688</v>
      </c>
      <c r="C263" s="67"/>
      <c r="D263" s="67"/>
      <c r="E263" s="67"/>
      <c r="F263" s="65"/>
      <c r="G263" s="64" t="n">
        <v>0.1</v>
      </c>
      <c r="H263" s="201" t="n">
        <v>0</v>
      </c>
      <c r="R263" s="151"/>
      <c r="S263" s="69"/>
      <c r="T263" s="69"/>
      <c r="U263" s="69"/>
      <c r="V263" s="65"/>
      <c r="W263" s="65"/>
      <c r="X263" s="88"/>
      <c r="Z263" s="210"/>
      <c r="AA263" s="56"/>
      <c r="AB263" s="56"/>
      <c r="AC263" s="56"/>
      <c r="AD263" s="42"/>
      <c r="AE263" s="42"/>
      <c r="AF263" s="44"/>
    </row>
    <row r="264" s="32" customFormat="true" ht="12.75" hidden="false" customHeight="false" outlineLevel="0" collapsed="false">
      <c r="B264" s="166" t="s">
        <v>689</v>
      </c>
      <c r="C264" s="67"/>
      <c r="D264" s="67"/>
      <c r="E264" s="67"/>
      <c r="F264" s="65"/>
      <c r="G264" s="64" t="n">
        <v>15</v>
      </c>
      <c r="H264" s="201" t="n">
        <v>10</v>
      </c>
      <c r="R264" s="170"/>
      <c r="S264" s="164"/>
      <c r="T264" s="164"/>
      <c r="U264" s="214"/>
      <c r="V264" s="214"/>
      <c r="W264" s="137"/>
      <c r="X264" s="171"/>
      <c r="Z264" s="210"/>
      <c r="AA264" s="56"/>
      <c r="AB264" s="56"/>
      <c r="AC264" s="56"/>
      <c r="AD264" s="42"/>
      <c r="AE264" s="42"/>
      <c r="AF264" s="44"/>
    </row>
    <row r="265" s="32" customFormat="true" ht="12.75" hidden="false" customHeight="false" outlineLevel="0" collapsed="false">
      <c r="B265" s="166" t="s">
        <v>690</v>
      </c>
      <c r="C265" s="67"/>
      <c r="D265" s="67"/>
      <c r="E265" s="67"/>
      <c r="F265" s="65" t="n">
        <v>1</v>
      </c>
      <c r="G265" s="64" t="n">
        <v>1</v>
      </c>
      <c r="H265" s="201" t="n">
        <v>0.5</v>
      </c>
      <c r="J265" s="50" t="s">
        <v>691</v>
      </c>
      <c r="K265" s="51"/>
      <c r="L265" s="51"/>
      <c r="M265" s="51"/>
      <c r="N265" s="58" t="s">
        <v>660</v>
      </c>
      <c r="O265" s="58" t="s">
        <v>155</v>
      </c>
      <c r="P265" s="59" t="s">
        <v>496</v>
      </c>
      <c r="Z265" s="210"/>
      <c r="AA265" s="56"/>
      <c r="AB265" s="56"/>
      <c r="AC265" s="56"/>
      <c r="AD265" s="42"/>
      <c r="AE265" s="42"/>
      <c r="AF265" s="44"/>
    </row>
    <row r="266" s="32" customFormat="true" ht="12.75" hidden="false" customHeight="false" outlineLevel="0" collapsed="false">
      <c r="B266" s="166" t="s">
        <v>692</v>
      </c>
      <c r="C266" s="67"/>
      <c r="D266" s="67"/>
      <c r="E266" s="67"/>
      <c r="F266" s="65"/>
      <c r="G266" s="64" t="n">
        <v>100</v>
      </c>
      <c r="H266" s="201" t="n">
        <v>20</v>
      </c>
      <c r="J266" s="166" t="s">
        <v>693</v>
      </c>
      <c r="K266" s="67"/>
      <c r="L266" s="67"/>
      <c r="M266" s="67"/>
      <c r="N266" s="65"/>
      <c r="O266" s="64" t="n">
        <v>250</v>
      </c>
      <c r="P266" s="201" t="n">
        <v>1</v>
      </c>
      <c r="Z266" s="210"/>
      <c r="AA266" s="56"/>
      <c r="AB266" s="56"/>
      <c r="AC266" s="56"/>
      <c r="AD266" s="42"/>
      <c r="AE266" s="42"/>
      <c r="AF266" s="44"/>
    </row>
    <row r="267" s="32" customFormat="true" ht="12.75" hidden="false" customHeight="false" outlineLevel="0" collapsed="false">
      <c r="B267" s="166" t="s">
        <v>694</v>
      </c>
      <c r="C267" s="67"/>
      <c r="D267" s="67"/>
      <c r="E267" s="67"/>
      <c r="F267" s="65" t="n">
        <v>1</v>
      </c>
      <c r="G267" s="64" t="n">
        <v>10</v>
      </c>
      <c r="H267" s="201" t="n">
        <v>5</v>
      </c>
      <c r="J267" s="166" t="s">
        <v>695</v>
      </c>
      <c r="K267" s="67"/>
      <c r="L267" s="67"/>
      <c r="M267" s="67"/>
      <c r="N267" s="65" t="n">
        <v>3</v>
      </c>
      <c r="O267" s="64" t="n">
        <v>50</v>
      </c>
      <c r="P267" s="201" t="n">
        <v>2</v>
      </c>
      <c r="R267" s="215"/>
      <c r="S267" s="216"/>
      <c r="T267" s="216"/>
      <c r="U267" s="216"/>
      <c r="V267" s="217"/>
      <c r="W267" s="218"/>
      <c r="X267" s="219"/>
      <c r="Z267" s="210"/>
      <c r="AA267" s="56"/>
      <c r="AB267" s="56"/>
      <c r="AC267" s="56"/>
      <c r="AD267" s="42"/>
      <c r="AE267" s="42"/>
      <c r="AF267" s="44"/>
    </row>
    <row r="268" s="32" customFormat="true" ht="12.75" hidden="false" customHeight="false" outlineLevel="0" collapsed="false">
      <c r="B268" s="166" t="s">
        <v>696</v>
      </c>
      <c r="C268" s="67"/>
      <c r="D268" s="64" t="s">
        <v>697</v>
      </c>
      <c r="E268" s="67"/>
      <c r="F268" s="65"/>
      <c r="G268" s="64" t="n">
        <v>75</v>
      </c>
      <c r="H268" s="201" t="n">
        <v>5</v>
      </c>
      <c r="J268" s="166" t="s">
        <v>698</v>
      </c>
      <c r="K268" s="67"/>
      <c r="L268" s="67"/>
      <c r="M268" s="67"/>
      <c r="N268" s="65"/>
      <c r="O268" s="64" t="n">
        <v>250</v>
      </c>
      <c r="P268" s="201" t="n">
        <v>1</v>
      </c>
      <c r="R268" s="50" t="s">
        <v>699</v>
      </c>
      <c r="S268" s="51"/>
      <c r="T268" s="51"/>
      <c r="U268" s="51"/>
      <c r="V268" s="58" t="s">
        <v>660</v>
      </c>
      <c r="W268" s="58" t="s">
        <v>155</v>
      </c>
      <c r="X268" s="59" t="s">
        <v>496</v>
      </c>
      <c r="Z268" s="210"/>
      <c r="AA268" s="56"/>
      <c r="AB268" s="56"/>
      <c r="AC268" s="56"/>
      <c r="AD268" s="42"/>
      <c r="AE268" s="42"/>
      <c r="AF268" s="44"/>
    </row>
    <row r="269" s="32" customFormat="true" ht="12.75" hidden="false" customHeight="false" outlineLevel="0" collapsed="false">
      <c r="B269" s="166" t="s">
        <v>700</v>
      </c>
      <c r="C269" s="67"/>
      <c r="D269" s="64"/>
      <c r="E269" s="67"/>
      <c r="F269" s="65" t="n">
        <v>1</v>
      </c>
      <c r="G269" s="64" t="n">
        <v>50</v>
      </c>
      <c r="H269" s="201" t="n">
        <v>0</v>
      </c>
      <c r="J269" s="166" t="s">
        <v>701</v>
      </c>
      <c r="K269" s="67"/>
      <c r="L269" s="67"/>
      <c r="M269" s="67"/>
      <c r="N269" s="65"/>
      <c r="O269" s="64" t="n">
        <v>150</v>
      </c>
      <c r="P269" s="201" t="n">
        <v>3</v>
      </c>
      <c r="R269" s="166" t="s">
        <v>702</v>
      </c>
      <c r="S269" s="67"/>
      <c r="T269" s="67"/>
      <c r="U269" s="67"/>
      <c r="V269" s="65"/>
      <c r="W269" s="64" t="s">
        <v>703</v>
      </c>
      <c r="X269" s="201" t="n">
        <v>1</v>
      </c>
      <c r="Z269" s="210"/>
      <c r="AA269" s="56"/>
      <c r="AB269" s="56"/>
      <c r="AC269" s="56"/>
      <c r="AD269" s="42"/>
      <c r="AE269" s="42"/>
      <c r="AF269" s="44"/>
    </row>
    <row r="270" s="32" customFormat="true" ht="12.75" hidden="false" customHeight="false" outlineLevel="0" collapsed="false">
      <c r="B270" s="166" t="s">
        <v>704</v>
      </c>
      <c r="C270" s="67"/>
      <c r="D270" s="67"/>
      <c r="E270" s="67"/>
      <c r="F270" s="65" t="n">
        <v>1</v>
      </c>
      <c r="G270" s="64" t="n">
        <v>20</v>
      </c>
      <c r="H270" s="201" t="n">
        <v>8</v>
      </c>
      <c r="J270" s="166" t="s">
        <v>705</v>
      </c>
      <c r="K270" s="67"/>
      <c r="L270" s="67"/>
      <c r="M270" s="67"/>
      <c r="N270" s="65"/>
      <c r="O270" s="64" t="n">
        <v>150</v>
      </c>
      <c r="P270" s="201" t="n">
        <v>1</v>
      </c>
      <c r="R270" s="166" t="s">
        <v>706</v>
      </c>
      <c r="S270" s="67"/>
      <c r="T270" s="67"/>
      <c r="U270" s="67"/>
      <c r="V270" s="65"/>
      <c r="W270" s="64" t="n">
        <v>500</v>
      </c>
      <c r="X270" s="201" t="n">
        <v>0.25</v>
      </c>
      <c r="Z270" s="210"/>
      <c r="AA270" s="56"/>
      <c r="AB270" s="56"/>
      <c r="AC270" s="56"/>
      <c r="AD270" s="42"/>
      <c r="AE270" s="42"/>
      <c r="AF270" s="44"/>
    </row>
    <row r="271" s="32" customFormat="true" ht="12.75" hidden="false" customHeight="false" outlineLevel="0" collapsed="false">
      <c r="B271" s="166" t="s">
        <v>707</v>
      </c>
      <c r="C271" s="67"/>
      <c r="D271" s="67"/>
      <c r="E271" s="67"/>
      <c r="F271" s="65"/>
      <c r="G271" s="64" t="n">
        <v>9</v>
      </c>
      <c r="H271" s="201" t="n">
        <v>3</v>
      </c>
      <c r="J271" s="166" t="s">
        <v>708</v>
      </c>
      <c r="K271" s="67"/>
      <c r="L271" s="67"/>
      <c r="M271" s="67"/>
      <c r="N271" s="65"/>
      <c r="O271" s="64" t="n">
        <v>150</v>
      </c>
      <c r="P271" s="201" t="n">
        <v>2</v>
      </c>
      <c r="R271" s="166" t="s">
        <v>709</v>
      </c>
      <c r="S271" s="67"/>
      <c r="T271" s="67"/>
      <c r="U271" s="67"/>
      <c r="V271" s="65"/>
      <c r="W271" s="64" t="n">
        <v>340</v>
      </c>
      <c r="X271" s="201" t="n">
        <v>2</v>
      </c>
      <c r="Z271" s="210"/>
      <c r="AA271" s="56"/>
      <c r="AB271" s="56"/>
      <c r="AC271" s="56"/>
      <c r="AD271" s="42"/>
      <c r="AE271" s="42"/>
      <c r="AF271" s="44"/>
    </row>
    <row r="272" s="32" customFormat="true" ht="12.75" hidden="false" customHeight="false" outlineLevel="0" collapsed="false">
      <c r="B272" s="166" t="s">
        <v>710</v>
      </c>
      <c r="C272" s="67"/>
      <c r="D272" s="67"/>
      <c r="E272" s="67"/>
      <c r="F272" s="65"/>
      <c r="G272" s="64" t="n">
        <v>27</v>
      </c>
      <c r="H272" s="201" t="n">
        <v>3</v>
      </c>
      <c r="J272" s="166" t="s">
        <v>711</v>
      </c>
      <c r="K272" s="67"/>
      <c r="L272" s="67"/>
      <c r="M272" s="67"/>
      <c r="N272" s="65"/>
      <c r="O272" s="64" t="n">
        <v>500</v>
      </c>
      <c r="P272" s="201" t="n">
        <v>2</v>
      </c>
      <c r="R272" s="166" t="s">
        <v>712</v>
      </c>
      <c r="S272" s="67"/>
      <c r="T272" s="67"/>
      <c r="U272" s="67"/>
      <c r="V272" s="65"/>
      <c r="W272" s="64" t="n">
        <v>250</v>
      </c>
      <c r="X272" s="201" t="n">
        <v>2</v>
      </c>
      <c r="Z272" s="210"/>
      <c r="AA272" s="56"/>
      <c r="AB272" s="56"/>
      <c r="AC272" s="56"/>
      <c r="AD272" s="42"/>
      <c r="AE272" s="42"/>
      <c r="AF272" s="44"/>
    </row>
    <row r="273" s="32" customFormat="true" ht="12.75" hidden="false" customHeight="false" outlineLevel="0" collapsed="false">
      <c r="B273" s="166" t="s">
        <v>713</v>
      </c>
      <c r="C273" s="67"/>
      <c r="D273" s="67"/>
      <c r="E273" s="67"/>
      <c r="F273" s="65" t="n">
        <v>1</v>
      </c>
      <c r="G273" s="64" t="n">
        <v>85</v>
      </c>
      <c r="H273" s="201" t="n">
        <v>5</v>
      </c>
      <c r="J273" s="166" t="s">
        <v>714</v>
      </c>
      <c r="K273" s="67"/>
      <c r="L273" s="67"/>
      <c r="M273" s="67"/>
      <c r="N273" s="65"/>
      <c r="O273" s="64" t="n">
        <v>150</v>
      </c>
      <c r="P273" s="201" t="n">
        <v>1</v>
      </c>
      <c r="R273" s="166" t="s">
        <v>715</v>
      </c>
      <c r="S273" s="67"/>
      <c r="T273" s="67"/>
      <c r="U273" s="67"/>
      <c r="V273" s="65"/>
      <c r="W273" s="64" t="n">
        <v>25</v>
      </c>
      <c r="X273" s="201" t="n">
        <v>2</v>
      </c>
      <c r="Z273" s="210"/>
      <c r="AA273" s="56"/>
      <c r="AB273" s="56"/>
      <c r="AC273" s="56"/>
      <c r="AD273" s="42"/>
      <c r="AE273" s="42"/>
      <c r="AF273" s="44"/>
    </row>
    <row r="274" s="32" customFormat="true" ht="12.75" hidden="false" customHeight="false" outlineLevel="0" collapsed="false">
      <c r="B274" s="166" t="s">
        <v>716</v>
      </c>
      <c r="C274" s="67"/>
      <c r="D274" s="67"/>
      <c r="E274" s="67"/>
      <c r="F274" s="65" t="n">
        <v>1</v>
      </c>
      <c r="G274" s="64" t="n">
        <v>0.8</v>
      </c>
      <c r="H274" s="201" t="n">
        <v>1</v>
      </c>
      <c r="J274" s="166" t="s">
        <v>717</v>
      </c>
      <c r="K274" s="67"/>
      <c r="L274" s="67"/>
      <c r="M274" s="67"/>
      <c r="N274" s="65"/>
      <c r="O274" s="64" t="n">
        <v>100</v>
      </c>
      <c r="P274" s="201" t="n">
        <v>1</v>
      </c>
      <c r="R274" s="166" t="s">
        <v>718</v>
      </c>
      <c r="S274" s="67"/>
      <c r="T274" s="67"/>
      <c r="U274" s="67"/>
      <c r="V274" s="65"/>
      <c r="W274" s="64" t="n">
        <v>275</v>
      </c>
      <c r="X274" s="201" t="n">
        <v>1</v>
      </c>
      <c r="Z274" s="210"/>
      <c r="AA274" s="56"/>
      <c r="AB274" s="56"/>
      <c r="AC274" s="56"/>
      <c r="AD274" s="42"/>
      <c r="AE274" s="42"/>
      <c r="AF274" s="44"/>
    </row>
    <row r="275" s="32" customFormat="true" ht="12.75" hidden="false" customHeight="false" outlineLevel="0" collapsed="false">
      <c r="B275" s="166" t="s">
        <v>719</v>
      </c>
      <c r="C275" s="67"/>
      <c r="D275" s="67"/>
      <c r="E275" s="67"/>
      <c r="F275" s="65"/>
      <c r="G275" s="64" t="n">
        <v>6</v>
      </c>
      <c r="H275" s="201" t="n">
        <v>1</v>
      </c>
      <c r="J275" s="166" t="s">
        <v>720</v>
      </c>
      <c r="K275" s="67"/>
      <c r="L275" s="67"/>
      <c r="M275" s="67"/>
      <c r="N275" s="65"/>
      <c r="O275" s="64" t="n">
        <v>100</v>
      </c>
      <c r="P275" s="201" t="n">
        <v>1</v>
      </c>
      <c r="R275" s="166" t="s">
        <v>721</v>
      </c>
      <c r="S275" s="67"/>
      <c r="T275" s="67"/>
      <c r="U275" s="67"/>
      <c r="V275" s="65"/>
      <c r="W275" s="64" t="n">
        <v>120</v>
      </c>
      <c r="X275" s="201" t="n">
        <v>1</v>
      </c>
      <c r="Z275" s="210"/>
      <c r="AA275" s="56"/>
      <c r="AB275" s="56"/>
      <c r="AC275" s="56"/>
      <c r="AD275" s="42"/>
      <c r="AE275" s="42"/>
      <c r="AF275" s="44"/>
    </row>
    <row r="276" s="32" customFormat="true" ht="12.75" hidden="false" customHeight="false" outlineLevel="0" collapsed="false">
      <c r="B276" s="166" t="s">
        <v>722</v>
      </c>
      <c r="C276" s="67"/>
      <c r="D276" s="67"/>
      <c r="E276" s="67"/>
      <c r="F276" s="65" t="n">
        <v>5</v>
      </c>
      <c r="G276" s="64" t="n">
        <v>1</v>
      </c>
      <c r="H276" s="201" t="n">
        <v>0</v>
      </c>
      <c r="J276" s="166" t="s">
        <v>723</v>
      </c>
      <c r="K276" s="67"/>
      <c r="L276" s="67"/>
      <c r="M276" s="67"/>
      <c r="N276" s="65"/>
      <c r="O276" s="64" t="n">
        <v>300</v>
      </c>
      <c r="P276" s="201" t="n">
        <v>2</v>
      </c>
      <c r="R276" s="166" t="s">
        <v>724</v>
      </c>
      <c r="S276" s="67"/>
      <c r="T276" s="67"/>
      <c r="U276" s="67"/>
      <c r="V276" s="65"/>
      <c r="W276" s="64" t="n">
        <v>300</v>
      </c>
      <c r="X276" s="201" t="n">
        <v>2</v>
      </c>
      <c r="Z276" s="210"/>
      <c r="AA276" s="56"/>
      <c r="AB276" s="56"/>
      <c r="AC276" s="56"/>
      <c r="AD276" s="42"/>
      <c r="AE276" s="42"/>
      <c r="AF276" s="44"/>
    </row>
    <row r="277" s="32" customFormat="true" ht="12.75" hidden="false" customHeight="false" outlineLevel="0" collapsed="false">
      <c r="B277" s="166" t="s">
        <v>725</v>
      </c>
      <c r="C277" s="67"/>
      <c r="D277" s="67"/>
      <c r="E277" s="67"/>
      <c r="F277" s="65" t="n">
        <v>1</v>
      </c>
      <c r="G277" s="64" t="n">
        <v>0.9</v>
      </c>
      <c r="H277" s="201" t="n">
        <v>1</v>
      </c>
      <c r="J277" s="166" t="s">
        <v>726</v>
      </c>
      <c r="K277" s="67"/>
      <c r="L277" s="67"/>
      <c r="M277" s="67"/>
      <c r="N277" s="65"/>
      <c r="O277" s="64" t="n">
        <v>125</v>
      </c>
      <c r="P277" s="201" t="n">
        <v>2</v>
      </c>
      <c r="R277" s="166" t="s">
        <v>727</v>
      </c>
      <c r="S277" s="67"/>
      <c r="T277" s="67"/>
      <c r="U277" s="67"/>
      <c r="V277" s="65"/>
      <c r="W277" s="64" t="n">
        <v>250</v>
      </c>
      <c r="X277" s="201" t="n">
        <v>3</v>
      </c>
      <c r="Z277" s="210"/>
      <c r="AA277" s="56"/>
      <c r="AB277" s="56"/>
      <c r="AC277" s="56"/>
      <c r="AD277" s="42"/>
      <c r="AE277" s="42"/>
      <c r="AF277" s="44"/>
    </row>
    <row r="278" s="32" customFormat="true" ht="12.75" hidden="false" customHeight="false" outlineLevel="0" collapsed="false">
      <c r="B278" s="166" t="s">
        <v>728</v>
      </c>
      <c r="C278" s="67"/>
      <c r="D278" s="67"/>
      <c r="E278" s="67"/>
      <c r="F278" s="65" t="n">
        <v>1</v>
      </c>
      <c r="G278" s="64" t="n">
        <v>1</v>
      </c>
      <c r="H278" s="201" t="n">
        <v>0</v>
      </c>
      <c r="J278" s="166" t="s">
        <v>729</v>
      </c>
      <c r="K278" s="67"/>
      <c r="L278" s="67"/>
      <c r="M278" s="67"/>
      <c r="N278" s="65" t="n">
        <v>1</v>
      </c>
      <c r="O278" s="64" t="n">
        <v>125</v>
      </c>
      <c r="P278" s="201" t="n">
        <v>2</v>
      </c>
      <c r="R278" s="166" t="s">
        <v>730</v>
      </c>
      <c r="S278" s="67"/>
      <c r="T278" s="67"/>
      <c r="U278" s="67"/>
      <c r="V278" s="65"/>
      <c r="W278" s="64" t="n">
        <v>100</v>
      </c>
      <c r="X278" s="201" t="n">
        <v>2</v>
      </c>
      <c r="Z278" s="210"/>
      <c r="AA278" s="56"/>
      <c r="AB278" s="56"/>
      <c r="AC278" s="56"/>
      <c r="AD278" s="42"/>
      <c r="AE278" s="42"/>
      <c r="AF278" s="44"/>
    </row>
    <row r="279" s="32" customFormat="true" ht="12.75" hidden="false" customHeight="false" outlineLevel="0" collapsed="false">
      <c r="B279" s="166" t="s">
        <v>731</v>
      </c>
      <c r="C279" s="67"/>
      <c r="D279" s="67"/>
      <c r="E279" s="67"/>
      <c r="F279" s="65" t="n">
        <v>1</v>
      </c>
      <c r="G279" s="64" t="n">
        <v>8</v>
      </c>
      <c r="H279" s="201" t="n">
        <v>3</v>
      </c>
      <c r="J279" s="166" t="s">
        <v>732</v>
      </c>
      <c r="K279" s="67"/>
      <c r="L279" s="67"/>
      <c r="M279" s="67"/>
      <c r="N279" s="65"/>
      <c r="O279" s="64" t="n">
        <v>50</v>
      </c>
      <c r="P279" s="201" t="n">
        <v>1</v>
      </c>
      <c r="R279" s="166" t="s">
        <v>733</v>
      </c>
      <c r="S279" s="67"/>
      <c r="T279" s="67"/>
      <c r="U279" s="67"/>
      <c r="V279" s="65"/>
      <c r="W279" s="64" t="n">
        <v>12</v>
      </c>
      <c r="X279" s="201" t="n">
        <v>0</v>
      </c>
      <c r="Z279" s="210"/>
      <c r="AA279" s="56"/>
      <c r="AB279" s="56"/>
      <c r="AC279" s="56"/>
      <c r="AD279" s="42"/>
      <c r="AE279" s="42"/>
      <c r="AF279" s="44"/>
    </row>
    <row r="280" s="32" customFormat="true" ht="12.75" hidden="false" customHeight="false" outlineLevel="0" collapsed="false">
      <c r="B280" s="166" t="s">
        <v>734</v>
      </c>
      <c r="C280" s="67"/>
      <c r="D280" s="67"/>
      <c r="E280" s="67"/>
      <c r="F280" s="65"/>
      <c r="G280" s="64" t="n">
        <v>15</v>
      </c>
      <c r="H280" s="201" t="n">
        <v>6</v>
      </c>
      <c r="J280" s="166" t="s">
        <v>735</v>
      </c>
      <c r="K280" s="67"/>
      <c r="L280" s="67"/>
      <c r="M280" s="67"/>
      <c r="N280" s="65" t="n">
        <v>1</v>
      </c>
      <c r="O280" s="64" t="n">
        <v>600</v>
      </c>
      <c r="P280" s="201" t="n">
        <v>1</v>
      </c>
      <c r="R280" s="166" t="s">
        <v>736</v>
      </c>
      <c r="S280" s="67"/>
      <c r="T280" s="67"/>
      <c r="U280" s="67"/>
      <c r="V280" s="65"/>
      <c r="W280" s="64" t="n">
        <v>250</v>
      </c>
      <c r="X280" s="201" t="n">
        <v>0</v>
      </c>
      <c r="Z280" s="210"/>
      <c r="AA280" s="56"/>
      <c r="AB280" s="56"/>
      <c r="AC280" s="56"/>
      <c r="AD280" s="42"/>
      <c r="AE280" s="42"/>
      <c r="AF280" s="44"/>
    </row>
    <row r="281" s="32" customFormat="true" ht="12.75" hidden="false" customHeight="false" outlineLevel="0" collapsed="false">
      <c r="B281" s="166" t="s">
        <v>737</v>
      </c>
      <c r="C281" s="67"/>
      <c r="D281" s="67"/>
      <c r="E281" s="67"/>
      <c r="F281" s="65"/>
      <c r="G281" s="64" t="n">
        <v>25</v>
      </c>
      <c r="H281" s="201" t="n">
        <v>15</v>
      </c>
      <c r="J281" s="166" t="s">
        <v>738</v>
      </c>
      <c r="K281" s="67"/>
      <c r="L281" s="67"/>
      <c r="M281" s="67"/>
      <c r="N281" s="65"/>
      <c r="O281" s="64" t="n">
        <v>300</v>
      </c>
      <c r="P281" s="201" t="n">
        <v>1</v>
      </c>
      <c r="R281" s="166" t="s">
        <v>739</v>
      </c>
      <c r="S281" s="67"/>
      <c r="T281" s="67"/>
      <c r="U281" s="67"/>
      <c r="V281" s="65"/>
      <c r="W281" s="64" t="n">
        <v>600</v>
      </c>
      <c r="X281" s="201" t="n">
        <v>0</v>
      </c>
      <c r="Z281" s="210"/>
      <c r="AA281" s="56"/>
      <c r="AB281" s="56"/>
      <c r="AC281" s="56"/>
      <c r="AD281" s="42"/>
      <c r="AE281" s="42"/>
      <c r="AF281" s="44"/>
    </row>
    <row r="282" s="32" customFormat="true" ht="12.75" hidden="false" customHeight="false" outlineLevel="0" collapsed="false">
      <c r="B282" s="166" t="s">
        <v>740</v>
      </c>
      <c r="C282" s="67"/>
      <c r="D282" s="67"/>
      <c r="E282" s="67"/>
      <c r="F282" s="65"/>
      <c r="G282" s="64" t="n">
        <v>2</v>
      </c>
      <c r="H282" s="201" t="n">
        <v>2</v>
      </c>
      <c r="J282" s="166" t="s">
        <v>741</v>
      </c>
      <c r="K282" s="67"/>
      <c r="L282" s="67"/>
      <c r="M282" s="67"/>
      <c r="N282" s="65"/>
      <c r="O282" s="64" t="n">
        <v>75</v>
      </c>
      <c r="P282" s="201" t="n">
        <v>2</v>
      </c>
      <c r="R282" s="166" t="s">
        <v>742</v>
      </c>
      <c r="S282" s="67"/>
      <c r="T282" s="67"/>
      <c r="U282" s="67"/>
      <c r="V282" s="65"/>
      <c r="W282" s="64" t="n">
        <v>300</v>
      </c>
      <c r="X282" s="201" t="n">
        <v>10</v>
      </c>
      <c r="Z282" s="210"/>
      <c r="AA282" s="56"/>
      <c r="AB282" s="56"/>
      <c r="AC282" s="56"/>
      <c r="AD282" s="42"/>
      <c r="AE282" s="42"/>
      <c r="AF282" s="44"/>
    </row>
    <row r="283" s="32" customFormat="true" ht="12.75" hidden="false" customHeight="false" outlineLevel="0" collapsed="false">
      <c r="B283" s="166" t="s">
        <v>743</v>
      </c>
      <c r="C283" s="67"/>
      <c r="D283" s="67"/>
      <c r="E283" s="67"/>
      <c r="F283" s="65" t="n">
        <v>2</v>
      </c>
      <c r="G283" s="64" t="n">
        <v>1</v>
      </c>
      <c r="H283" s="201" t="n">
        <v>1</v>
      </c>
      <c r="J283" s="166" t="s">
        <v>744</v>
      </c>
      <c r="K283" s="67"/>
      <c r="L283" s="67"/>
      <c r="M283" s="67"/>
      <c r="N283" s="65"/>
      <c r="O283" s="64" t="n">
        <v>125</v>
      </c>
      <c r="P283" s="201" t="n">
        <v>1</v>
      </c>
      <c r="R283" s="166" t="s">
        <v>745</v>
      </c>
      <c r="S283" s="67"/>
      <c r="T283" s="67"/>
      <c r="U283" s="67"/>
      <c r="V283" s="65"/>
      <c r="W283" s="64" t="n">
        <v>100</v>
      </c>
      <c r="X283" s="201" t="n">
        <v>3</v>
      </c>
      <c r="Z283" s="210"/>
      <c r="AA283" s="56"/>
      <c r="AB283" s="56"/>
      <c r="AC283" s="56"/>
      <c r="AD283" s="42"/>
      <c r="AE283" s="42"/>
      <c r="AF283" s="44"/>
    </row>
    <row r="284" s="32" customFormat="true" ht="12.75" hidden="false" customHeight="false" outlineLevel="0" collapsed="false">
      <c r="B284" s="166" t="s">
        <v>746</v>
      </c>
      <c r="C284" s="67"/>
      <c r="D284" s="67"/>
      <c r="E284" s="67"/>
      <c r="F284" s="65" t="n">
        <v>1</v>
      </c>
      <c r="G284" s="64" t="n">
        <v>30</v>
      </c>
      <c r="H284" s="201" t="n">
        <v>20</v>
      </c>
      <c r="J284" s="166" t="s">
        <v>747</v>
      </c>
      <c r="K284" s="67"/>
      <c r="L284" s="67"/>
      <c r="M284" s="67"/>
      <c r="N284" s="65"/>
      <c r="O284" s="64" t="n">
        <v>200</v>
      </c>
      <c r="P284" s="201" t="n">
        <v>1</v>
      </c>
      <c r="R284" s="166" t="s">
        <v>748</v>
      </c>
      <c r="S284" s="67"/>
      <c r="T284" s="67"/>
      <c r="U284" s="67"/>
      <c r="V284" s="65"/>
      <c r="W284" s="64" t="n">
        <v>100</v>
      </c>
      <c r="X284" s="201" t="n">
        <v>3</v>
      </c>
      <c r="Z284" s="210"/>
      <c r="AA284" s="56"/>
      <c r="AB284" s="56"/>
      <c r="AC284" s="56"/>
      <c r="AD284" s="42"/>
      <c r="AE284" s="42"/>
      <c r="AF284" s="44"/>
    </row>
    <row r="285" s="32" customFormat="true" ht="12.75" hidden="false" customHeight="false" outlineLevel="0" collapsed="false">
      <c r="B285" s="166" t="s">
        <v>749</v>
      </c>
      <c r="C285" s="67"/>
      <c r="D285" s="67"/>
      <c r="E285" s="67"/>
      <c r="F285" s="65" t="n">
        <v>1</v>
      </c>
      <c r="G285" s="64" t="n">
        <v>100</v>
      </c>
      <c r="H285" s="201" t="n">
        <v>1</v>
      </c>
      <c r="J285" s="166"/>
      <c r="K285" s="67"/>
      <c r="L285" s="67"/>
      <c r="M285" s="67"/>
      <c r="N285" s="65"/>
      <c r="O285" s="64"/>
      <c r="P285" s="201"/>
      <c r="R285" s="166" t="s">
        <v>750</v>
      </c>
      <c r="S285" s="67"/>
      <c r="T285" s="67"/>
      <c r="U285" s="67"/>
      <c r="V285" s="65"/>
      <c r="W285" s="64" t="n">
        <v>100</v>
      </c>
      <c r="X285" s="201" t="n">
        <v>8</v>
      </c>
      <c r="Z285" s="56"/>
      <c r="AA285" s="56"/>
      <c r="AB285" s="56"/>
      <c r="AC285" s="56"/>
      <c r="AD285" s="56"/>
      <c r="AE285" s="56"/>
      <c r="AF285" s="56"/>
    </row>
    <row r="286" s="32" customFormat="true" ht="12.75" hidden="false" customHeight="false" outlineLevel="0" collapsed="false">
      <c r="B286" s="166" t="s">
        <v>751</v>
      </c>
      <c r="C286" s="67"/>
      <c r="D286" s="67"/>
      <c r="E286" s="67"/>
      <c r="F286" s="65" t="n">
        <v>5</v>
      </c>
      <c r="G286" s="64" t="n">
        <v>0.5</v>
      </c>
      <c r="H286" s="201" t="n">
        <v>1</v>
      </c>
      <c r="J286" s="166"/>
      <c r="K286" s="67"/>
      <c r="L286" s="67"/>
      <c r="M286" s="67"/>
      <c r="N286" s="65"/>
      <c r="O286" s="64"/>
      <c r="P286" s="201"/>
      <c r="R286" s="166" t="s">
        <v>752</v>
      </c>
      <c r="S286" s="67"/>
      <c r="T286" s="67"/>
      <c r="U286" s="67"/>
      <c r="V286" s="65"/>
      <c r="W286" s="64" t="n">
        <v>500</v>
      </c>
      <c r="X286" s="201" t="n">
        <v>3</v>
      </c>
      <c r="Z286" s="209"/>
      <c r="AA286" s="56"/>
      <c r="AB286" s="56"/>
      <c r="AC286" s="56"/>
      <c r="AD286" s="42"/>
      <c r="AE286" s="42"/>
      <c r="AF286" s="42"/>
    </row>
    <row r="287" s="32" customFormat="true" ht="12.75" hidden="false" customHeight="false" outlineLevel="0" collapsed="false">
      <c r="B287" s="166" t="s">
        <v>753</v>
      </c>
      <c r="C287" s="67"/>
      <c r="D287" s="67"/>
      <c r="E287" s="67"/>
      <c r="F287" s="65"/>
      <c r="G287" s="64" t="n">
        <v>0.2</v>
      </c>
      <c r="H287" s="201" t="n">
        <v>1</v>
      </c>
      <c r="J287" s="166"/>
      <c r="K287" s="67"/>
      <c r="L287" s="67"/>
      <c r="M287" s="67"/>
      <c r="N287" s="65"/>
      <c r="O287" s="64"/>
      <c r="P287" s="201"/>
      <c r="R287" s="166" t="s">
        <v>754</v>
      </c>
      <c r="S287" s="67"/>
      <c r="T287" s="67"/>
      <c r="U287" s="67"/>
      <c r="V287" s="65"/>
      <c r="W287" s="64" t="n">
        <v>200</v>
      </c>
      <c r="X287" s="201" t="n">
        <v>20</v>
      </c>
      <c r="Z287" s="56"/>
      <c r="AA287" s="56"/>
      <c r="AB287" s="56"/>
      <c r="AC287" s="56"/>
      <c r="AD287" s="56"/>
      <c r="AE287" s="56"/>
      <c r="AF287" s="56"/>
    </row>
    <row r="288" s="32" customFormat="true" ht="12.75" hidden="false" customHeight="false" outlineLevel="0" collapsed="false">
      <c r="B288" s="166" t="s">
        <v>755</v>
      </c>
      <c r="C288" s="67"/>
      <c r="D288" s="67"/>
      <c r="E288" s="67"/>
      <c r="F288" s="65" t="n">
        <v>2</v>
      </c>
      <c r="G288" s="64" t="n">
        <v>10</v>
      </c>
      <c r="H288" s="201" t="n">
        <v>0.5</v>
      </c>
      <c r="J288" s="50" t="s">
        <v>756</v>
      </c>
      <c r="K288" s="51"/>
      <c r="L288" s="51"/>
      <c r="M288" s="51"/>
      <c r="N288" s="58" t="s">
        <v>660</v>
      </c>
      <c r="O288" s="58" t="s">
        <v>155</v>
      </c>
      <c r="P288" s="59" t="s">
        <v>496</v>
      </c>
      <c r="R288" s="166" t="s">
        <v>757</v>
      </c>
      <c r="S288" s="67"/>
      <c r="T288" s="67"/>
      <c r="U288" s="67"/>
      <c r="V288" s="65"/>
      <c r="W288" s="64" t="n">
        <v>125</v>
      </c>
      <c r="X288" s="201" t="n">
        <v>6</v>
      </c>
      <c r="Z288" s="56"/>
      <c r="AA288" s="56"/>
      <c r="AB288" s="56"/>
      <c r="AC288" s="56"/>
      <c r="AD288" s="56"/>
      <c r="AE288" s="56"/>
      <c r="AF288" s="56"/>
    </row>
    <row r="289" s="32" customFormat="true" ht="12.75" hidden="false" customHeight="false" outlineLevel="0" collapsed="false">
      <c r="B289" s="166"/>
      <c r="C289" s="67"/>
      <c r="D289" s="67"/>
      <c r="E289" s="67"/>
      <c r="F289" s="65"/>
      <c r="G289" s="64"/>
      <c r="H289" s="201"/>
      <c r="J289" s="166" t="s">
        <v>758</v>
      </c>
      <c r="K289" s="67"/>
      <c r="L289" s="67"/>
      <c r="M289" s="67"/>
      <c r="N289" s="65"/>
      <c r="O289" s="64" t="n">
        <v>550</v>
      </c>
      <c r="P289" s="201" t="n">
        <v>1</v>
      </c>
      <c r="R289" s="166" t="s">
        <v>759</v>
      </c>
      <c r="S289" s="67"/>
      <c r="T289" s="67"/>
      <c r="U289" s="67"/>
      <c r="V289" s="65" t="n">
        <v>1</v>
      </c>
      <c r="W289" s="64" t="n">
        <v>75</v>
      </c>
      <c r="X289" s="201" t="n">
        <v>2</v>
      </c>
      <c r="Z289" s="56"/>
      <c r="AA289" s="56"/>
      <c r="AB289" s="56"/>
      <c r="AC289" s="56"/>
      <c r="AD289" s="56"/>
      <c r="AE289" s="56"/>
      <c r="AF289" s="56"/>
    </row>
    <row r="290" s="32" customFormat="true" ht="12.75" hidden="false" customHeight="false" outlineLevel="0" collapsed="false">
      <c r="B290" s="166"/>
      <c r="C290" s="67"/>
      <c r="D290" s="67"/>
      <c r="E290" s="67"/>
      <c r="F290" s="65"/>
      <c r="G290" s="64"/>
      <c r="H290" s="201"/>
      <c r="J290" s="166" t="s">
        <v>758</v>
      </c>
      <c r="K290" s="67"/>
      <c r="L290" s="67"/>
      <c r="M290" s="67"/>
      <c r="N290" s="65"/>
      <c r="O290" s="64" t="n">
        <v>550</v>
      </c>
      <c r="P290" s="201" t="n">
        <v>1</v>
      </c>
      <c r="R290" s="166" t="s">
        <v>760</v>
      </c>
      <c r="S290" s="67"/>
      <c r="T290" s="67"/>
      <c r="U290" s="67"/>
      <c r="V290" s="65"/>
      <c r="W290" s="64" t="n">
        <v>300</v>
      </c>
      <c r="X290" s="201" t="n">
        <v>2</v>
      </c>
      <c r="Z290" s="56"/>
      <c r="AA290" s="56"/>
      <c r="AB290" s="56"/>
      <c r="AC290" s="56"/>
      <c r="AD290" s="56"/>
      <c r="AE290" s="56"/>
      <c r="AF290" s="56"/>
    </row>
    <row r="291" s="32" customFormat="true" ht="12.75" hidden="false" customHeight="false" outlineLevel="0" collapsed="false">
      <c r="B291" s="166"/>
      <c r="C291" s="67"/>
      <c r="D291" s="67"/>
      <c r="E291" s="67"/>
      <c r="F291" s="65"/>
      <c r="G291" s="64"/>
      <c r="H291" s="201"/>
      <c r="J291" s="166" t="s">
        <v>761</v>
      </c>
      <c r="K291" s="67"/>
      <c r="L291" s="67"/>
      <c r="M291" s="67"/>
      <c r="N291" s="65"/>
      <c r="O291" s="64" t="n">
        <v>1800</v>
      </c>
      <c r="P291" s="201" t="n">
        <v>2</v>
      </c>
      <c r="R291" s="166" t="s">
        <v>762</v>
      </c>
      <c r="S291" s="67"/>
      <c r="T291" s="67"/>
      <c r="U291" s="67"/>
      <c r="V291" s="65"/>
      <c r="W291" s="64" t="n">
        <v>600</v>
      </c>
      <c r="X291" s="201" t="n">
        <v>2</v>
      </c>
      <c r="Z291" s="56"/>
      <c r="AA291" s="56"/>
      <c r="AB291" s="56"/>
      <c r="AC291" s="56"/>
      <c r="AD291" s="56"/>
      <c r="AE291" s="56"/>
      <c r="AF291" s="56"/>
    </row>
    <row r="292" s="32" customFormat="true" ht="12.75" hidden="false" customHeight="false" outlineLevel="0" collapsed="false">
      <c r="B292" s="166"/>
      <c r="C292" s="67"/>
      <c r="D292" s="67"/>
      <c r="E292" s="67"/>
      <c r="F292" s="65"/>
      <c r="G292" s="64"/>
      <c r="H292" s="201"/>
      <c r="J292" s="166" t="s">
        <v>763</v>
      </c>
      <c r="K292" s="67"/>
      <c r="L292" s="67"/>
      <c r="M292" s="67"/>
      <c r="N292" s="65"/>
      <c r="O292" s="64" t="n">
        <v>1100</v>
      </c>
      <c r="P292" s="201" t="n">
        <v>2</v>
      </c>
      <c r="R292" s="166" t="s">
        <v>764</v>
      </c>
      <c r="S292" s="67"/>
      <c r="T292" s="67"/>
      <c r="U292" s="67"/>
      <c r="V292" s="65"/>
      <c r="W292" s="64" t="s">
        <v>703</v>
      </c>
      <c r="X292" s="201" t="s">
        <v>703</v>
      </c>
      <c r="Z292" s="56"/>
      <c r="AA292" s="56"/>
      <c r="AB292" s="56"/>
      <c r="AC292" s="56"/>
      <c r="AD292" s="56"/>
      <c r="AE292" s="56"/>
      <c r="AF292" s="56"/>
    </row>
    <row r="293" s="32" customFormat="true" ht="12.75" hidden="false" customHeight="false" outlineLevel="0" collapsed="false">
      <c r="B293" s="166"/>
      <c r="C293" s="67"/>
      <c r="D293" s="67"/>
      <c r="E293" s="67"/>
      <c r="F293" s="65"/>
      <c r="G293" s="64"/>
      <c r="H293" s="201"/>
      <c r="J293" s="166" t="s">
        <v>765</v>
      </c>
      <c r="K293" s="67"/>
      <c r="L293" s="67"/>
      <c r="M293" s="67"/>
      <c r="N293" s="65"/>
      <c r="O293" s="64" t="n">
        <v>450</v>
      </c>
      <c r="P293" s="201" t="n">
        <v>1</v>
      </c>
      <c r="R293" s="166" t="s">
        <v>766</v>
      </c>
      <c r="S293" s="67"/>
      <c r="T293" s="67"/>
      <c r="U293" s="67"/>
      <c r="V293" s="65"/>
      <c r="W293" s="64" t="n">
        <v>200</v>
      </c>
      <c r="X293" s="201" t="n">
        <v>5</v>
      </c>
      <c r="Z293" s="56"/>
      <c r="AA293" s="56"/>
      <c r="AB293" s="56"/>
      <c r="AC293" s="56"/>
      <c r="AD293" s="56"/>
      <c r="AE293" s="56"/>
      <c r="AF293" s="56"/>
    </row>
    <row r="294" s="32" customFormat="true" ht="12.75" hidden="false" customHeight="false" outlineLevel="0" collapsed="false">
      <c r="B294" s="166"/>
      <c r="C294" s="67"/>
      <c r="D294" s="67"/>
      <c r="E294" s="67"/>
      <c r="F294" s="65"/>
      <c r="G294" s="64"/>
      <c r="H294" s="201"/>
      <c r="J294" s="166" t="s">
        <v>767</v>
      </c>
      <c r="K294" s="67"/>
      <c r="L294" s="67"/>
      <c r="M294" s="67"/>
      <c r="N294" s="65"/>
      <c r="O294" s="64" t="n">
        <v>1750</v>
      </c>
      <c r="P294" s="201" t="n">
        <v>2</v>
      </c>
      <c r="R294" s="166" t="s">
        <v>768</v>
      </c>
      <c r="S294" s="67"/>
      <c r="T294" s="67"/>
      <c r="U294" s="67"/>
      <c r="V294" s="65"/>
      <c r="W294" s="64" t="n">
        <v>75</v>
      </c>
      <c r="X294" s="201" t="n">
        <v>2</v>
      </c>
      <c r="Z294" s="56"/>
      <c r="AA294" s="56"/>
      <c r="AB294" s="56"/>
      <c r="AC294" s="56"/>
      <c r="AD294" s="56"/>
      <c r="AE294" s="56"/>
      <c r="AF294" s="56"/>
    </row>
    <row r="295" s="32" customFormat="true" ht="12.75" hidden="false" customHeight="false" outlineLevel="0" collapsed="false">
      <c r="B295" s="166"/>
      <c r="C295" s="67"/>
      <c r="D295" s="67"/>
      <c r="E295" s="67"/>
      <c r="F295" s="65"/>
      <c r="G295" s="64"/>
      <c r="H295" s="201"/>
      <c r="J295" s="166" t="s">
        <v>769</v>
      </c>
      <c r="K295" s="67"/>
      <c r="L295" s="67"/>
      <c r="M295" s="67"/>
      <c r="N295" s="65"/>
      <c r="O295" s="64" t="n">
        <v>3000</v>
      </c>
      <c r="P295" s="201" t="n">
        <v>3</v>
      </c>
      <c r="R295" s="166" t="s">
        <v>770</v>
      </c>
      <c r="S295" s="67"/>
      <c r="T295" s="67"/>
      <c r="U295" s="67"/>
      <c r="V295" s="65"/>
      <c r="W295" s="64" t="n">
        <v>65</v>
      </c>
      <c r="X295" s="201" t="n">
        <v>2</v>
      </c>
      <c r="Z295" s="56"/>
      <c r="AA295" s="56"/>
      <c r="AB295" s="56"/>
      <c r="AC295" s="56"/>
      <c r="AD295" s="56"/>
      <c r="AE295" s="56"/>
      <c r="AF295" s="56"/>
    </row>
    <row r="296" s="32" customFormat="true" ht="12.75" hidden="false" customHeight="false" outlineLevel="0" collapsed="false">
      <c r="B296" s="166"/>
      <c r="C296" s="67"/>
      <c r="D296" s="67"/>
      <c r="E296" s="67"/>
      <c r="F296" s="65"/>
      <c r="G296" s="64"/>
      <c r="H296" s="201"/>
      <c r="J296" s="166" t="s">
        <v>771</v>
      </c>
      <c r="K296" s="67"/>
      <c r="L296" s="67"/>
      <c r="M296" s="67"/>
      <c r="N296" s="65"/>
      <c r="O296" s="64" t="n">
        <v>3000</v>
      </c>
      <c r="P296" s="201" t="n">
        <v>1</v>
      </c>
      <c r="R296" s="166" t="s">
        <v>772</v>
      </c>
      <c r="S296" s="67"/>
      <c r="T296" s="67"/>
      <c r="U296" s="67"/>
      <c r="V296" s="65"/>
      <c r="W296" s="64" t="n">
        <v>150</v>
      </c>
      <c r="X296" s="201" t="n">
        <v>1</v>
      </c>
    </row>
    <row r="297" s="32" customFormat="true" ht="12.75" hidden="false" customHeight="false" outlineLevel="0" collapsed="false">
      <c r="B297" s="203"/>
      <c r="C297" s="69"/>
      <c r="D297" s="69"/>
      <c r="E297" s="69"/>
      <c r="F297" s="65"/>
      <c r="G297" s="220"/>
      <c r="H297" s="88"/>
      <c r="J297" s="166" t="s">
        <v>773</v>
      </c>
      <c r="K297" s="67"/>
      <c r="L297" s="67"/>
      <c r="M297" s="67"/>
      <c r="N297" s="65"/>
      <c r="O297" s="64" t="n">
        <v>2000</v>
      </c>
      <c r="P297" s="201" t="n">
        <v>4</v>
      </c>
      <c r="R297" s="166" t="s">
        <v>774</v>
      </c>
      <c r="S297" s="67"/>
      <c r="T297" s="67"/>
      <c r="U297" s="67"/>
      <c r="V297" s="65"/>
      <c r="W297" s="64" t="n">
        <v>350</v>
      </c>
      <c r="X297" s="201" t="n">
        <v>0</v>
      </c>
    </row>
    <row r="298" s="32" customFormat="true" ht="12.75" hidden="false" customHeight="false" outlineLevel="0" collapsed="false">
      <c r="B298" s="203"/>
      <c r="C298" s="69"/>
      <c r="D298" s="69"/>
      <c r="E298" s="69"/>
      <c r="F298" s="65"/>
      <c r="G298" s="220"/>
      <c r="H298" s="88"/>
      <c r="J298" s="166" t="s">
        <v>775</v>
      </c>
      <c r="K298" s="67"/>
      <c r="L298" s="67"/>
      <c r="M298" s="67"/>
      <c r="N298" s="65"/>
      <c r="O298" s="64" t="n">
        <v>3000</v>
      </c>
      <c r="P298" s="201" t="n">
        <v>1</v>
      </c>
      <c r="R298" s="166" t="s">
        <v>776</v>
      </c>
      <c r="S298" s="67"/>
      <c r="T298" s="67"/>
      <c r="U298" s="67"/>
      <c r="V298" s="65"/>
      <c r="W298" s="64" t="n">
        <v>500</v>
      </c>
      <c r="X298" s="201" t="n">
        <v>1</v>
      </c>
    </row>
    <row r="299" s="32" customFormat="true" ht="12.75" hidden="false" customHeight="false" outlineLevel="0" collapsed="false">
      <c r="B299" s="203"/>
      <c r="C299" s="69"/>
      <c r="D299" s="69"/>
      <c r="E299" s="69"/>
      <c r="F299" s="65"/>
      <c r="G299" s="220"/>
      <c r="H299" s="88"/>
      <c r="J299" s="166" t="s">
        <v>777</v>
      </c>
      <c r="K299" s="67"/>
      <c r="L299" s="67"/>
      <c r="M299" s="67"/>
      <c r="N299" s="65"/>
      <c r="O299" s="64" t="n">
        <v>4000</v>
      </c>
      <c r="P299" s="201" t="n">
        <v>1</v>
      </c>
      <c r="R299" s="166" t="s">
        <v>778</v>
      </c>
      <c r="S299" s="67"/>
      <c r="T299" s="67"/>
      <c r="U299" s="67"/>
      <c r="V299" s="65"/>
      <c r="W299" s="64" t="n">
        <v>60</v>
      </c>
      <c r="X299" s="201" t="n">
        <v>1</v>
      </c>
    </row>
    <row r="300" s="32" customFormat="true" ht="12.75" hidden="false" customHeight="false" outlineLevel="0" collapsed="false">
      <c r="B300" s="203"/>
      <c r="C300" s="69"/>
      <c r="D300" s="69"/>
      <c r="E300" s="69"/>
      <c r="F300" s="65"/>
      <c r="G300" s="220"/>
      <c r="H300" s="88"/>
      <c r="J300" s="166" t="s">
        <v>779</v>
      </c>
      <c r="K300" s="67"/>
      <c r="L300" s="67"/>
      <c r="M300" s="67"/>
      <c r="N300" s="65"/>
      <c r="O300" s="64" t="n">
        <v>2000</v>
      </c>
      <c r="P300" s="201" t="n">
        <v>1</v>
      </c>
      <c r="R300" s="166" t="s">
        <v>780</v>
      </c>
      <c r="S300" s="67"/>
      <c r="T300" s="67"/>
      <c r="U300" s="67"/>
      <c r="V300" s="65"/>
      <c r="W300" s="64" t="n">
        <v>350</v>
      </c>
      <c r="X300" s="201" t="n">
        <v>4</v>
      </c>
    </row>
    <row r="301" s="32" customFormat="true" ht="12.75" hidden="false" customHeight="false" outlineLevel="0" collapsed="false">
      <c r="B301" s="203"/>
      <c r="C301" s="69"/>
      <c r="D301" s="69"/>
      <c r="E301" s="69"/>
      <c r="F301" s="65"/>
      <c r="G301" s="220"/>
      <c r="H301" s="88"/>
      <c r="J301" s="166" t="s">
        <v>781</v>
      </c>
      <c r="K301" s="67"/>
      <c r="L301" s="67"/>
      <c r="M301" s="67"/>
      <c r="N301" s="65"/>
      <c r="O301" s="64" t="n">
        <v>1500</v>
      </c>
      <c r="P301" s="201" t="n">
        <v>1</v>
      </c>
      <c r="R301" s="166" t="s">
        <v>782</v>
      </c>
      <c r="S301" s="67"/>
      <c r="T301" s="67"/>
      <c r="U301" s="67"/>
      <c r="V301" s="65"/>
      <c r="W301" s="64" t="n">
        <v>750</v>
      </c>
      <c r="X301" s="201" t="n">
        <v>2</v>
      </c>
    </row>
    <row r="302" s="32" customFormat="true" ht="12.75" hidden="false" customHeight="false" outlineLevel="0" collapsed="false">
      <c r="B302" s="203"/>
      <c r="C302" s="69"/>
      <c r="D302" s="69"/>
      <c r="E302" s="69"/>
      <c r="F302" s="65"/>
      <c r="G302" s="220"/>
      <c r="H302" s="88"/>
      <c r="J302" s="166" t="s">
        <v>783</v>
      </c>
      <c r="K302" s="67"/>
      <c r="L302" s="67"/>
      <c r="M302" s="67"/>
      <c r="N302" s="65"/>
      <c r="O302" s="64" t="n">
        <v>1500</v>
      </c>
      <c r="P302" s="201" t="n">
        <v>1</v>
      </c>
      <c r="R302" s="166" t="s">
        <v>784</v>
      </c>
      <c r="S302" s="67"/>
      <c r="T302" s="67"/>
      <c r="U302" s="67"/>
      <c r="V302" s="65"/>
      <c r="W302" s="64" t="n">
        <v>600</v>
      </c>
      <c r="X302" s="201" t="n">
        <v>2</v>
      </c>
    </row>
    <row r="303" s="32" customFormat="true" ht="12.75" hidden="false" customHeight="false" outlineLevel="0" collapsed="false">
      <c r="B303" s="203"/>
      <c r="C303" s="69"/>
      <c r="D303" s="69"/>
      <c r="E303" s="69"/>
      <c r="F303" s="65"/>
      <c r="G303" s="220"/>
      <c r="H303" s="88"/>
      <c r="J303" s="166" t="s">
        <v>785</v>
      </c>
      <c r="K303" s="67"/>
      <c r="L303" s="67"/>
      <c r="M303" s="67"/>
      <c r="N303" s="65"/>
      <c r="O303" s="64" t="n">
        <v>1500</v>
      </c>
      <c r="P303" s="201" t="n">
        <v>2</v>
      </c>
      <c r="R303" s="166" t="s">
        <v>786</v>
      </c>
      <c r="S303" s="67"/>
      <c r="T303" s="67"/>
      <c r="U303" s="67"/>
      <c r="V303" s="65"/>
      <c r="W303" s="64" t="n">
        <v>150</v>
      </c>
      <c r="X303" s="201" t="n">
        <v>2</v>
      </c>
    </row>
    <row r="304" s="32" customFormat="true" ht="12.75" hidden="false" customHeight="false" outlineLevel="0" collapsed="false">
      <c r="B304" s="203"/>
      <c r="C304" s="69"/>
      <c r="D304" s="69"/>
      <c r="E304" s="69"/>
      <c r="F304" s="65"/>
      <c r="G304" s="220"/>
      <c r="H304" s="88"/>
      <c r="J304" s="166" t="s">
        <v>787</v>
      </c>
      <c r="K304" s="67"/>
      <c r="L304" s="67"/>
      <c r="M304" s="67"/>
      <c r="N304" s="65"/>
      <c r="O304" s="64" t="n">
        <v>2000</v>
      </c>
      <c r="P304" s="201" t="n">
        <v>1</v>
      </c>
      <c r="R304" s="166" t="s">
        <v>788</v>
      </c>
      <c r="S304" s="67"/>
      <c r="T304" s="67"/>
      <c r="U304" s="67"/>
      <c r="V304" s="65"/>
      <c r="W304" s="64" t="n">
        <v>450</v>
      </c>
      <c r="X304" s="201" t="n">
        <v>2</v>
      </c>
    </row>
    <row r="305" s="32" customFormat="true" ht="12.75" hidden="false" customHeight="false" outlineLevel="0" collapsed="false">
      <c r="B305" s="203"/>
      <c r="C305" s="69"/>
      <c r="D305" s="69"/>
      <c r="E305" s="69"/>
      <c r="F305" s="65"/>
      <c r="G305" s="220"/>
      <c r="H305" s="88"/>
      <c r="J305" s="166" t="s">
        <v>789</v>
      </c>
      <c r="K305" s="67"/>
      <c r="L305" s="67"/>
      <c r="M305" s="67"/>
      <c r="N305" s="65"/>
      <c r="O305" s="64" t="n">
        <v>2100</v>
      </c>
      <c r="P305" s="201" t="n">
        <v>2</v>
      </c>
      <c r="R305" s="166" t="s">
        <v>790</v>
      </c>
      <c r="S305" s="67"/>
      <c r="T305" s="67"/>
      <c r="U305" s="67"/>
      <c r="V305" s="65"/>
      <c r="W305" s="64" t="n">
        <v>300</v>
      </c>
      <c r="X305" s="201" t="n">
        <v>2</v>
      </c>
    </row>
    <row r="306" s="32" customFormat="true" ht="12.75" hidden="false" customHeight="false" outlineLevel="0" collapsed="false">
      <c r="B306" s="203"/>
      <c r="C306" s="69"/>
      <c r="D306" s="69"/>
      <c r="E306" s="69"/>
      <c r="F306" s="65"/>
      <c r="G306" s="220"/>
      <c r="H306" s="88"/>
      <c r="J306" s="166" t="s">
        <v>791</v>
      </c>
      <c r="K306" s="67"/>
      <c r="L306" s="67"/>
      <c r="M306" s="67"/>
      <c r="N306" s="65"/>
      <c r="O306" s="64" t="n">
        <v>6000</v>
      </c>
      <c r="P306" s="201" t="n">
        <v>15</v>
      </c>
      <c r="R306" s="166" t="s">
        <v>792</v>
      </c>
      <c r="S306" s="67"/>
      <c r="T306" s="67"/>
      <c r="U306" s="67"/>
      <c r="V306" s="65"/>
      <c r="W306" s="64" t="n">
        <v>150</v>
      </c>
      <c r="X306" s="201" t="n">
        <v>1</v>
      </c>
    </row>
    <row r="307" s="32" customFormat="true" ht="12.75" hidden="false" customHeight="false" outlineLevel="0" collapsed="false">
      <c r="B307" s="203"/>
      <c r="C307" s="69"/>
      <c r="D307" s="69"/>
      <c r="E307" s="69"/>
      <c r="F307" s="65"/>
      <c r="G307" s="220"/>
      <c r="H307" s="88"/>
      <c r="J307" s="203"/>
      <c r="K307" s="69"/>
      <c r="L307" s="69"/>
      <c r="M307" s="69"/>
      <c r="N307" s="65"/>
      <c r="O307" s="220"/>
      <c r="P307" s="204"/>
      <c r="R307" s="166" t="s">
        <v>793</v>
      </c>
      <c r="S307" s="67"/>
      <c r="T307" s="67"/>
      <c r="U307" s="67"/>
      <c r="V307" s="65"/>
      <c r="W307" s="64" t="n">
        <v>350</v>
      </c>
      <c r="X307" s="201" t="n">
        <v>1</v>
      </c>
    </row>
    <row r="308" s="32" customFormat="true" ht="12.75" hidden="false" customHeight="false" outlineLevel="0" collapsed="false">
      <c r="B308" s="203"/>
      <c r="C308" s="69"/>
      <c r="D308" s="69"/>
      <c r="E308" s="69"/>
      <c r="F308" s="65"/>
      <c r="G308" s="220"/>
      <c r="H308" s="88"/>
      <c r="J308" s="203"/>
      <c r="K308" s="69"/>
      <c r="L308" s="69"/>
      <c r="M308" s="69"/>
      <c r="N308" s="65"/>
      <c r="O308" s="220"/>
      <c r="P308" s="204"/>
      <c r="R308" s="166" t="s">
        <v>794</v>
      </c>
      <c r="S308" s="67"/>
      <c r="T308" s="67"/>
      <c r="U308" s="67"/>
      <c r="V308" s="65"/>
      <c r="W308" s="64" t="n">
        <v>275</v>
      </c>
      <c r="X308" s="201" t="n">
        <v>3</v>
      </c>
    </row>
    <row r="309" s="32" customFormat="true" ht="12.75" hidden="false" customHeight="false" outlineLevel="0" collapsed="false">
      <c r="B309" s="203"/>
      <c r="C309" s="69"/>
      <c r="D309" s="69"/>
      <c r="E309" s="69"/>
      <c r="F309" s="65"/>
      <c r="G309" s="220"/>
      <c r="H309" s="88"/>
      <c r="J309" s="203"/>
      <c r="K309" s="69"/>
      <c r="L309" s="69"/>
      <c r="M309" s="69"/>
      <c r="N309" s="65"/>
      <c r="O309" s="220"/>
      <c r="P309" s="204"/>
      <c r="R309" s="166" t="s">
        <v>795</v>
      </c>
      <c r="S309" s="67"/>
      <c r="T309" s="67"/>
      <c r="U309" s="67"/>
      <c r="V309" s="65"/>
      <c r="W309" s="64" t="n">
        <v>500</v>
      </c>
      <c r="X309" s="201" t="n">
        <v>2</v>
      </c>
    </row>
    <row r="310" s="32" customFormat="true" ht="12.75" hidden="false" customHeight="false" outlineLevel="0" collapsed="false">
      <c r="B310" s="203"/>
      <c r="C310" s="69"/>
      <c r="D310" s="69"/>
      <c r="E310" s="69"/>
      <c r="F310" s="65"/>
      <c r="G310" s="220"/>
      <c r="H310" s="88"/>
      <c r="J310" s="203"/>
      <c r="K310" s="69"/>
      <c r="L310" s="69"/>
      <c r="M310" s="69"/>
      <c r="N310" s="65"/>
      <c r="O310" s="220"/>
      <c r="P310" s="204"/>
      <c r="R310" s="166" t="s">
        <v>796</v>
      </c>
      <c r="S310" s="67"/>
      <c r="T310" s="67"/>
      <c r="U310" s="67"/>
      <c r="V310" s="65"/>
      <c r="W310" s="64" t="n">
        <v>250</v>
      </c>
      <c r="X310" s="201"/>
    </row>
    <row r="311" s="32" customFormat="true" ht="12.75" hidden="false" customHeight="false" outlineLevel="0" collapsed="false">
      <c r="B311" s="203"/>
      <c r="C311" s="69"/>
      <c r="D311" s="69"/>
      <c r="E311" s="69"/>
      <c r="F311" s="65"/>
      <c r="G311" s="220"/>
      <c r="H311" s="88"/>
      <c r="J311" s="203"/>
      <c r="K311" s="69"/>
      <c r="L311" s="69"/>
      <c r="M311" s="69"/>
      <c r="N311" s="65"/>
      <c r="O311" s="220"/>
      <c r="P311" s="204"/>
      <c r="R311" s="166"/>
      <c r="S311" s="67"/>
      <c r="T311" s="67"/>
      <c r="U311" s="67"/>
      <c r="V311" s="65"/>
      <c r="W311" s="64"/>
      <c r="X311" s="201"/>
    </row>
    <row r="312" s="32" customFormat="true" ht="12.75" hidden="false" customHeight="false" outlineLevel="0" collapsed="false">
      <c r="B312" s="206"/>
      <c r="C312" s="164"/>
      <c r="D312" s="164"/>
      <c r="E312" s="164"/>
      <c r="F312" s="137"/>
      <c r="G312" s="214"/>
      <c r="H312" s="171"/>
      <c r="J312" s="206"/>
      <c r="K312" s="164"/>
      <c r="L312" s="164"/>
      <c r="M312" s="164"/>
      <c r="N312" s="137"/>
      <c r="O312" s="214"/>
      <c r="P312" s="207"/>
      <c r="R312" s="93"/>
      <c r="S312" s="94"/>
      <c r="T312" s="94"/>
      <c r="U312" s="94"/>
      <c r="V312" s="137"/>
      <c r="W312" s="221"/>
      <c r="X312" s="205"/>
    </row>
    <row r="313" s="32" customFormat="true" ht="12.75" hidden="false" customHeight="false" outlineLevel="0" collapsed="false">
      <c r="V313" s="222"/>
      <c r="W313" s="222"/>
      <c r="X313" s="222"/>
    </row>
    <row r="314" s="32" customFormat="true" ht="12.75" hidden="false" customHeight="false" outlineLevel="0" collapsed="false">
      <c r="B314" s="103" t="s">
        <v>797</v>
      </c>
      <c r="C314" s="103"/>
      <c r="D314" s="103"/>
      <c r="E314" s="103"/>
      <c r="F314" s="103"/>
      <c r="G314" s="103"/>
      <c r="H314" s="223" t="s">
        <v>343</v>
      </c>
      <c r="I314" s="223"/>
      <c r="J314" s="223"/>
      <c r="K314" s="223"/>
      <c r="L314" s="223"/>
      <c r="M314" s="223"/>
      <c r="N314" s="223"/>
      <c r="O314" s="223"/>
      <c r="P314" s="223"/>
      <c r="Q314" s="223"/>
      <c r="R314" s="223"/>
      <c r="S314" s="223"/>
      <c r="T314" s="223"/>
      <c r="U314" s="223"/>
      <c r="V314" s="58" t="s">
        <v>798</v>
      </c>
      <c r="W314" s="58"/>
      <c r="X314" s="59" t="s">
        <v>496</v>
      </c>
    </row>
    <row r="315" s="32" customFormat="true" ht="12.75" hidden="false" customHeight="false" outlineLevel="0" collapsed="false">
      <c r="B315" s="153"/>
      <c r="C315" s="153"/>
      <c r="D315" s="153"/>
      <c r="E315" s="153"/>
      <c r="F315" s="153"/>
      <c r="G315" s="153"/>
      <c r="H315" s="224"/>
      <c r="I315" s="225"/>
      <c r="J315" s="225"/>
      <c r="K315" s="225"/>
      <c r="L315" s="225"/>
      <c r="M315" s="225"/>
      <c r="N315" s="225"/>
      <c r="O315" s="225"/>
      <c r="P315" s="225"/>
      <c r="Q315" s="225"/>
      <c r="R315" s="225"/>
      <c r="S315" s="225"/>
      <c r="T315" s="225"/>
      <c r="U315" s="226"/>
      <c r="V315" s="227"/>
      <c r="W315" s="227"/>
      <c r="X315" s="88"/>
    </row>
    <row r="316" s="32" customFormat="true" ht="12.75" hidden="false" customHeight="false" outlineLevel="0" collapsed="false">
      <c r="B316" s="153"/>
      <c r="C316" s="153"/>
      <c r="D316" s="153"/>
      <c r="E316" s="153"/>
      <c r="F316" s="153"/>
      <c r="G316" s="153"/>
      <c r="H316" s="224"/>
      <c r="I316" s="225"/>
      <c r="J316" s="225"/>
      <c r="K316" s="225"/>
      <c r="L316" s="225"/>
      <c r="M316" s="225"/>
      <c r="N316" s="225"/>
      <c r="O316" s="225"/>
      <c r="P316" s="225"/>
      <c r="Q316" s="225"/>
      <c r="R316" s="225"/>
      <c r="S316" s="225"/>
      <c r="T316" s="225"/>
      <c r="U316" s="226"/>
      <c r="V316" s="133"/>
      <c r="W316" s="133"/>
      <c r="X316" s="88"/>
    </row>
    <row r="317" s="32" customFormat="true" ht="12.75" hidden="false" customHeight="false" outlineLevel="0" collapsed="false">
      <c r="B317" s="153"/>
      <c r="C317" s="153"/>
      <c r="D317" s="153"/>
      <c r="E317" s="153"/>
      <c r="F317" s="153"/>
      <c r="G317" s="153"/>
      <c r="H317" s="224"/>
      <c r="I317" s="225"/>
      <c r="J317" s="225"/>
      <c r="K317" s="225"/>
      <c r="L317" s="225"/>
      <c r="M317" s="225"/>
      <c r="N317" s="225"/>
      <c r="O317" s="225"/>
      <c r="P317" s="225"/>
      <c r="Q317" s="225"/>
      <c r="R317" s="225"/>
      <c r="S317" s="225"/>
      <c r="T317" s="225"/>
      <c r="U317" s="226"/>
      <c r="V317" s="228"/>
      <c r="W317" s="228"/>
      <c r="X317" s="172"/>
    </row>
    <row r="318" s="32" customFormat="true" ht="12.75" hidden="false" customHeight="false" outlineLevel="0" collapsed="false">
      <c r="B318" s="153"/>
      <c r="C318" s="153"/>
      <c r="D318" s="153"/>
      <c r="E318" s="153"/>
      <c r="F318" s="153"/>
      <c r="G318" s="153"/>
      <c r="H318" s="224"/>
      <c r="I318" s="225"/>
      <c r="J318" s="225"/>
      <c r="K318" s="225"/>
      <c r="L318" s="225"/>
      <c r="M318" s="225"/>
      <c r="N318" s="225"/>
      <c r="O318" s="225"/>
      <c r="P318" s="225"/>
      <c r="Q318" s="225"/>
      <c r="R318" s="225"/>
      <c r="S318" s="225"/>
      <c r="T318" s="225"/>
      <c r="U318" s="226"/>
      <c r="V318" s="228"/>
      <c r="W318" s="228"/>
      <c r="X318" s="172"/>
    </row>
    <row r="319" s="32" customFormat="true" ht="12.75" hidden="false" customHeight="false" outlineLevel="0" collapsed="false">
      <c r="B319" s="153"/>
      <c r="C319" s="153"/>
      <c r="D319" s="153"/>
      <c r="E319" s="153"/>
      <c r="F319" s="153"/>
      <c r="G319" s="153"/>
      <c r="H319" s="224"/>
      <c r="I319" s="225"/>
      <c r="J319" s="225"/>
      <c r="K319" s="225"/>
      <c r="L319" s="225"/>
      <c r="M319" s="225"/>
      <c r="N319" s="225"/>
      <c r="O319" s="225"/>
      <c r="P319" s="225"/>
      <c r="Q319" s="225"/>
      <c r="R319" s="225"/>
      <c r="S319" s="225"/>
      <c r="T319" s="225"/>
      <c r="U319" s="226"/>
      <c r="V319" s="228"/>
      <c r="W319" s="228"/>
      <c r="X319" s="172"/>
    </row>
    <row r="320" s="32" customFormat="true" ht="12.75" hidden="false" customHeight="false" outlineLevel="0" collapsed="false">
      <c r="B320" s="153"/>
      <c r="C320" s="153"/>
      <c r="D320" s="153"/>
      <c r="E320" s="153"/>
      <c r="F320" s="153"/>
      <c r="G320" s="153"/>
      <c r="H320" s="224"/>
      <c r="I320" s="225"/>
      <c r="J320" s="225"/>
      <c r="K320" s="225"/>
      <c r="L320" s="225"/>
      <c r="M320" s="225"/>
      <c r="N320" s="225"/>
      <c r="O320" s="225"/>
      <c r="P320" s="225"/>
      <c r="Q320" s="225"/>
      <c r="R320" s="225"/>
      <c r="S320" s="225"/>
      <c r="T320" s="225"/>
      <c r="U320" s="226"/>
      <c r="V320" s="228"/>
      <c r="W320" s="228"/>
      <c r="X320" s="172"/>
    </row>
    <row r="321" s="32" customFormat="true" ht="12.75" hidden="false" customHeight="false" outlineLevel="0" collapsed="false">
      <c r="B321" s="153"/>
      <c r="C321" s="153"/>
      <c r="D321" s="153"/>
      <c r="E321" s="153"/>
      <c r="F321" s="153"/>
      <c r="G321" s="153"/>
      <c r="H321" s="224"/>
      <c r="I321" s="225"/>
      <c r="J321" s="225"/>
      <c r="K321" s="225"/>
      <c r="L321" s="225"/>
      <c r="M321" s="225"/>
      <c r="N321" s="225"/>
      <c r="O321" s="225"/>
      <c r="P321" s="225"/>
      <c r="Q321" s="225"/>
      <c r="R321" s="225"/>
      <c r="S321" s="225"/>
      <c r="T321" s="225"/>
      <c r="U321" s="226"/>
      <c r="V321" s="228"/>
      <c r="W321" s="228"/>
      <c r="X321" s="172"/>
    </row>
    <row r="322" s="32" customFormat="true" ht="12.75" hidden="false" customHeight="false" outlineLevel="0" collapsed="false">
      <c r="B322" s="153"/>
      <c r="C322" s="153"/>
      <c r="D322" s="153"/>
      <c r="E322" s="153"/>
      <c r="F322" s="153"/>
      <c r="G322" s="153"/>
      <c r="H322" s="224"/>
      <c r="I322" s="225"/>
      <c r="J322" s="225"/>
      <c r="K322" s="225"/>
      <c r="L322" s="225"/>
      <c r="M322" s="225"/>
      <c r="N322" s="225"/>
      <c r="O322" s="225"/>
      <c r="P322" s="225"/>
      <c r="Q322" s="225"/>
      <c r="R322" s="225"/>
      <c r="S322" s="225"/>
      <c r="T322" s="225"/>
      <c r="U322" s="226"/>
      <c r="V322" s="228"/>
      <c r="W322" s="228"/>
      <c r="X322" s="172"/>
    </row>
    <row r="323" s="32" customFormat="true" ht="12.75" hidden="false" customHeight="false" outlineLevel="0" collapsed="false">
      <c r="B323" s="153"/>
      <c r="C323" s="153"/>
      <c r="D323" s="153"/>
      <c r="E323" s="153"/>
      <c r="F323" s="153"/>
      <c r="G323" s="153"/>
      <c r="H323" s="224"/>
      <c r="I323" s="225"/>
      <c r="J323" s="225"/>
      <c r="K323" s="225"/>
      <c r="L323" s="225"/>
      <c r="M323" s="225"/>
      <c r="N323" s="225"/>
      <c r="O323" s="225"/>
      <c r="P323" s="225"/>
      <c r="Q323" s="225"/>
      <c r="R323" s="225"/>
      <c r="S323" s="225"/>
      <c r="T323" s="225"/>
      <c r="U323" s="226"/>
      <c r="V323" s="228"/>
      <c r="W323" s="228"/>
      <c r="X323" s="172"/>
    </row>
    <row r="324" s="32" customFormat="true" ht="12.75" hidden="false" customHeight="false" outlineLevel="0" collapsed="false">
      <c r="B324" s="229"/>
      <c r="C324" s="229"/>
      <c r="D324" s="229"/>
      <c r="E324" s="229"/>
      <c r="F324" s="229"/>
      <c r="G324" s="229"/>
      <c r="H324" s="230"/>
      <c r="I324" s="231"/>
      <c r="J324" s="231"/>
      <c r="K324" s="231"/>
      <c r="L324" s="231"/>
      <c r="M324" s="231"/>
      <c r="N324" s="231"/>
      <c r="O324" s="231"/>
      <c r="P324" s="231"/>
      <c r="Q324" s="231"/>
      <c r="R324" s="231"/>
      <c r="S324" s="231"/>
      <c r="T324" s="231"/>
      <c r="U324" s="232"/>
      <c r="V324" s="233"/>
      <c r="W324" s="233"/>
      <c r="X324" s="234"/>
    </row>
    <row r="325" s="32" customFormat="true" ht="12.75" hidden="false" customHeight="false" outlineLevel="0" collapsed="false">
      <c r="V325" s="235"/>
      <c r="W325" s="235"/>
    </row>
    <row r="326" customFormat="false" ht="12.75" hidden="false" customHeight="false" outlineLevel="0" collapsed="false">
      <c r="B326" s="50" t="s">
        <v>799</v>
      </c>
      <c r="C326" s="51"/>
      <c r="D326" s="51"/>
      <c r="E326" s="51"/>
      <c r="F326" s="51"/>
      <c r="G326" s="51"/>
      <c r="H326" s="51"/>
      <c r="I326" s="51"/>
      <c r="J326" s="51"/>
      <c r="K326" s="51"/>
      <c r="L326" s="51"/>
      <c r="M326" s="51"/>
      <c r="N326" s="52"/>
      <c r="P326" s="50" t="s">
        <v>800</v>
      </c>
      <c r="Q326" s="57"/>
      <c r="R326" s="57"/>
      <c r="S326" s="57"/>
      <c r="T326" s="57"/>
      <c r="U326" s="57"/>
      <c r="V326" s="57"/>
      <c r="W326" s="57"/>
      <c r="X326" s="57"/>
      <c r="Y326" s="57"/>
      <c r="Z326" s="57"/>
      <c r="AA326" s="57"/>
      <c r="AB326" s="57"/>
      <c r="AC326" s="197"/>
      <c r="CN326" s="32"/>
      <c r="CO326" s="32"/>
    </row>
    <row r="327" customFormat="false" ht="12.75" hidden="false" customHeight="false" outlineLevel="0" collapsed="false">
      <c r="B327" s="236"/>
      <c r="C327" s="236"/>
      <c r="D327" s="236"/>
      <c r="E327" s="236"/>
      <c r="F327" s="236"/>
      <c r="G327" s="236"/>
      <c r="H327" s="236"/>
      <c r="I327" s="236"/>
      <c r="J327" s="236"/>
      <c r="K327" s="236"/>
      <c r="L327" s="236"/>
      <c r="M327" s="236"/>
      <c r="N327" s="236"/>
      <c r="P327" s="237"/>
      <c r="Q327" s="238"/>
      <c r="R327" s="238"/>
      <c r="S327" s="238"/>
      <c r="T327" s="238"/>
      <c r="U327" s="238"/>
      <c r="V327" s="238"/>
      <c r="W327" s="238"/>
      <c r="X327" s="238"/>
      <c r="Y327" s="238"/>
      <c r="Z327" s="238"/>
      <c r="AA327" s="238"/>
      <c r="AB327" s="238"/>
      <c r="AC327" s="239"/>
      <c r="CN327" s="32"/>
      <c r="CO327" s="32"/>
    </row>
    <row r="328" customFormat="false" ht="12.75" hidden="false" customHeight="false" outlineLevel="0" collapsed="false">
      <c r="B328" s="236"/>
      <c r="C328" s="236"/>
      <c r="D328" s="236"/>
      <c r="E328" s="236"/>
      <c r="F328" s="236"/>
      <c r="G328" s="236"/>
      <c r="H328" s="236"/>
      <c r="I328" s="236"/>
      <c r="J328" s="236"/>
      <c r="K328" s="236"/>
      <c r="L328" s="236"/>
      <c r="M328" s="236"/>
      <c r="N328" s="236"/>
      <c r="P328" s="240"/>
      <c r="Q328" s="241"/>
      <c r="R328" s="241"/>
      <c r="S328" s="241"/>
      <c r="T328" s="241"/>
      <c r="U328" s="241"/>
      <c r="V328" s="241"/>
      <c r="W328" s="241"/>
      <c r="X328" s="241"/>
      <c r="Y328" s="241"/>
      <c r="Z328" s="241"/>
      <c r="AA328" s="241"/>
      <c r="AB328" s="241"/>
      <c r="AC328" s="242"/>
      <c r="CN328" s="32"/>
      <c r="CO328" s="32"/>
    </row>
    <row r="329" customFormat="false" ht="12.75" hidden="false" customHeight="false" outlineLevel="0" collapsed="false">
      <c r="B329" s="236"/>
      <c r="C329" s="236"/>
      <c r="D329" s="236"/>
      <c r="E329" s="236"/>
      <c r="F329" s="236"/>
      <c r="G329" s="236"/>
      <c r="H329" s="236"/>
      <c r="I329" s="236"/>
      <c r="J329" s="236"/>
      <c r="K329" s="236"/>
      <c r="L329" s="236"/>
      <c r="M329" s="236"/>
      <c r="N329" s="236"/>
      <c r="P329" s="243"/>
      <c r="Q329" s="244"/>
      <c r="R329" s="244"/>
      <c r="S329" s="244"/>
      <c r="T329" s="244"/>
      <c r="U329" s="244"/>
      <c r="V329" s="244"/>
      <c r="W329" s="244"/>
      <c r="X329" s="244"/>
      <c r="Y329" s="244"/>
      <c r="Z329" s="244"/>
      <c r="AA329" s="244"/>
      <c r="AB329" s="244"/>
      <c r="AC329" s="245"/>
      <c r="CN329" s="32"/>
      <c r="CO329" s="32"/>
    </row>
    <row r="330" customFormat="false" ht="12.75" hidden="false" customHeight="false" outlineLevel="0" collapsed="false">
      <c r="B330" s="236"/>
      <c r="C330" s="236"/>
      <c r="D330" s="236"/>
      <c r="E330" s="236"/>
      <c r="F330" s="236"/>
      <c r="G330" s="236"/>
      <c r="H330" s="236"/>
      <c r="I330" s="236"/>
      <c r="J330" s="236"/>
      <c r="K330" s="236"/>
      <c r="L330" s="236"/>
      <c r="M330" s="236"/>
      <c r="N330" s="236"/>
      <c r="CN330" s="32"/>
      <c r="CO330" s="32"/>
    </row>
    <row r="331" customFormat="false" ht="12.75" hidden="false" customHeight="false" outlineLevel="0" collapsed="false">
      <c r="P331" s="50" t="s">
        <v>801</v>
      </c>
      <c r="Q331" s="57"/>
      <c r="R331" s="57"/>
      <c r="S331" s="57"/>
      <c r="T331" s="57"/>
      <c r="U331" s="57"/>
      <c r="V331" s="57"/>
      <c r="W331" s="57"/>
      <c r="X331" s="57"/>
      <c r="Y331" s="57"/>
      <c r="Z331" s="57"/>
      <c r="AA331" s="57"/>
      <c r="AB331" s="57"/>
      <c r="AC331" s="197"/>
      <c r="CN331" s="32"/>
      <c r="CO331" s="32"/>
    </row>
    <row r="332" customFormat="false" ht="12.75" hidden="false" customHeight="false" outlineLevel="0" collapsed="false">
      <c r="B332" s="246" t="s">
        <v>802</v>
      </c>
      <c r="C332" s="246"/>
      <c r="D332" s="246"/>
      <c r="E332" s="246"/>
      <c r="F332" s="246"/>
      <c r="G332" s="246"/>
      <c r="H332" s="246"/>
      <c r="I332" s="246"/>
      <c r="J332" s="246"/>
      <c r="K332" s="246"/>
      <c r="L332" s="246"/>
      <c r="M332" s="246"/>
      <c r="N332" s="246"/>
      <c r="P332" s="237"/>
      <c r="Q332" s="238"/>
      <c r="R332" s="238"/>
      <c r="S332" s="238"/>
      <c r="T332" s="238"/>
      <c r="U332" s="238"/>
      <c r="V332" s="238"/>
      <c r="W332" s="238"/>
      <c r="X332" s="238"/>
      <c r="Y332" s="238"/>
      <c r="Z332" s="238"/>
      <c r="AA332" s="238"/>
      <c r="AB332" s="238"/>
      <c r="AC332" s="239"/>
      <c r="CN332" s="32"/>
      <c r="CO332" s="32"/>
    </row>
    <row r="333" customFormat="false" ht="12.75" hidden="false" customHeight="false" outlineLevel="0" collapsed="false">
      <c r="B333" s="236"/>
      <c r="C333" s="236"/>
      <c r="D333" s="236"/>
      <c r="E333" s="236"/>
      <c r="F333" s="236"/>
      <c r="G333" s="236"/>
      <c r="H333" s="236"/>
      <c r="I333" s="236"/>
      <c r="J333" s="236"/>
      <c r="K333" s="236"/>
      <c r="L333" s="236"/>
      <c r="M333" s="236"/>
      <c r="N333" s="236"/>
      <c r="P333" s="240"/>
      <c r="Q333" s="241"/>
      <c r="R333" s="241"/>
      <c r="S333" s="241"/>
      <c r="T333" s="241"/>
      <c r="U333" s="241"/>
      <c r="V333" s="241"/>
      <c r="W333" s="241"/>
      <c r="X333" s="241"/>
      <c r="Y333" s="241"/>
      <c r="Z333" s="241"/>
      <c r="AA333" s="241"/>
      <c r="AB333" s="241"/>
      <c r="AC333" s="242"/>
      <c r="CN333" s="32"/>
      <c r="CO333" s="32"/>
    </row>
    <row r="334" customFormat="false" ht="12.75" hidden="false" customHeight="false" outlineLevel="0" collapsed="false">
      <c r="B334" s="236"/>
      <c r="C334" s="236"/>
      <c r="D334" s="236"/>
      <c r="E334" s="236"/>
      <c r="F334" s="236"/>
      <c r="G334" s="236"/>
      <c r="H334" s="236"/>
      <c r="I334" s="236"/>
      <c r="J334" s="236"/>
      <c r="K334" s="236"/>
      <c r="L334" s="236"/>
      <c r="M334" s="236"/>
      <c r="N334" s="236"/>
      <c r="P334" s="243"/>
      <c r="Q334" s="244"/>
      <c r="R334" s="244"/>
      <c r="S334" s="244"/>
      <c r="T334" s="244"/>
      <c r="U334" s="244"/>
      <c r="V334" s="244"/>
      <c r="W334" s="244"/>
      <c r="X334" s="244"/>
      <c r="Y334" s="244"/>
      <c r="Z334" s="244"/>
      <c r="AA334" s="244"/>
      <c r="AB334" s="244"/>
      <c r="AC334" s="245"/>
      <c r="CN334" s="32"/>
      <c r="CO334" s="32"/>
    </row>
    <row r="335" customFormat="false" ht="12.75" hidden="false" customHeight="false" outlineLevel="0" collapsed="false">
      <c r="B335" s="247"/>
      <c r="C335" s="247"/>
      <c r="D335" s="247"/>
      <c r="E335" s="247"/>
      <c r="F335" s="247"/>
      <c r="G335" s="247"/>
      <c r="H335" s="247"/>
      <c r="I335" s="247"/>
      <c r="J335" s="247"/>
      <c r="K335" s="247"/>
      <c r="L335" s="247"/>
      <c r="M335" s="247"/>
      <c r="N335" s="247"/>
      <c r="W335" s="56"/>
      <c r="X335" s="56"/>
      <c r="Y335" s="56"/>
      <c r="Z335" s="56"/>
      <c r="AF335" s="56"/>
      <c r="CN335" s="32"/>
      <c r="CO335" s="32"/>
    </row>
    <row r="336" customFormat="false" ht="12.75" hidden="false" customHeight="false" outlineLevel="0" collapsed="false">
      <c r="B336" s="50" t="s">
        <v>803</v>
      </c>
      <c r="C336" s="51"/>
      <c r="D336" s="51"/>
      <c r="E336" s="51"/>
      <c r="F336" s="51"/>
      <c r="G336" s="51"/>
      <c r="H336" s="51"/>
      <c r="I336" s="51"/>
      <c r="J336" s="51"/>
      <c r="K336" s="51"/>
      <c r="L336" s="51"/>
      <c r="M336" s="51"/>
      <c r="N336" s="52"/>
      <c r="P336" s="50" t="s">
        <v>804</v>
      </c>
      <c r="Q336" s="57"/>
      <c r="R336" s="57"/>
      <c r="S336" s="57"/>
      <c r="T336" s="57"/>
      <c r="U336" s="57"/>
      <c r="V336" s="57"/>
      <c r="W336" s="57"/>
      <c r="X336" s="57"/>
      <c r="Y336" s="57"/>
      <c r="Z336" s="57"/>
      <c r="AA336" s="57"/>
      <c r="AB336" s="57"/>
      <c r="AC336" s="197"/>
      <c r="CN336" s="32"/>
      <c r="CO336" s="32"/>
    </row>
    <row r="337" customFormat="false" ht="12.75" hidden="false" customHeight="false" outlineLevel="0" collapsed="false">
      <c r="B337" s="236"/>
      <c r="C337" s="236"/>
      <c r="D337" s="236"/>
      <c r="E337" s="236"/>
      <c r="F337" s="236"/>
      <c r="G337" s="236"/>
      <c r="H337" s="236"/>
      <c r="I337" s="236"/>
      <c r="J337" s="236"/>
      <c r="K337" s="236"/>
      <c r="L337" s="236"/>
      <c r="M337" s="236"/>
      <c r="N337" s="236"/>
      <c r="P337" s="237"/>
      <c r="Q337" s="238"/>
      <c r="R337" s="238"/>
      <c r="S337" s="238"/>
      <c r="T337" s="238"/>
      <c r="U337" s="238"/>
      <c r="V337" s="238"/>
      <c r="W337" s="238"/>
      <c r="X337" s="238"/>
      <c r="Y337" s="238"/>
      <c r="Z337" s="238"/>
      <c r="AA337" s="238"/>
      <c r="AB337" s="238"/>
      <c r="AC337" s="239"/>
      <c r="CN337" s="32"/>
      <c r="CO337" s="32"/>
    </row>
    <row r="338" customFormat="false" ht="12.75" hidden="false" customHeight="false" outlineLevel="0" collapsed="false">
      <c r="B338" s="236"/>
      <c r="C338" s="236"/>
      <c r="D338" s="236"/>
      <c r="E338" s="236"/>
      <c r="F338" s="236"/>
      <c r="G338" s="236"/>
      <c r="H338" s="236"/>
      <c r="I338" s="236"/>
      <c r="J338" s="236"/>
      <c r="K338" s="236"/>
      <c r="L338" s="236"/>
      <c r="M338" s="236"/>
      <c r="N338" s="236"/>
      <c r="P338" s="243"/>
      <c r="Q338" s="244"/>
      <c r="R338" s="244"/>
      <c r="S338" s="244"/>
      <c r="T338" s="244"/>
      <c r="U338" s="244"/>
      <c r="V338" s="244"/>
      <c r="W338" s="244"/>
      <c r="X338" s="244"/>
      <c r="Y338" s="244"/>
      <c r="Z338" s="244"/>
      <c r="AA338" s="244"/>
      <c r="AB338" s="244"/>
      <c r="AC338" s="245"/>
      <c r="CN338" s="32"/>
      <c r="CO338" s="32"/>
    </row>
    <row r="339" customFormat="false" ht="12.75" hidden="false" customHeight="false" outlineLevel="0" collapsed="false">
      <c r="B339" s="236"/>
      <c r="C339" s="236"/>
      <c r="D339" s="236"/>
      <c r="E339" s="236"/>
      <c r="F339" s="236"/>
      <c r="G339" s="236"/>
      <c r="H339" s="236"/>
      <c r="I339" s="236"/>
      <c r="J339" s="236"/>
      <c r="K339" s="236"/>
      <c r="L339" s="236"/>
      <c r="M339" s="236"/>
      <c r="N339" s="236"/>
      <c r="CN339" s="32"/>
      <c r="CO339" s="32"/>
    </row>
    <row r="340" customFormat="false" ht="12.75" hidden="false" customHeight="false" outlineLevel="0" collapsed="false">
      <c r="B340" s="236"/>
      <c r="C340" s="236"/>
      <c r="D340" s="236"/>
      <c r="E340" s="236"/>
      <c r="F340" s="236"/>
      <c r="G340" s="236"/>
      <c r="H340" s="236"/>
      <c r="I340" s="236"/>
      <c r="J340" s="236"/>
      <c r="K340" s="236"/>
      <c r="L340" s="236"/>
      <c r="M340" s="236"/>
      <c r="N340" s="236"/>
      <c r="P340" s="50" t="s">
        <v>805</v>
      </c>
      <c r="Q340" s="57"/>
      <c r="R340" s="57"/>
      <c r="S340" s="57"/>
      <c r="T340" s="57"/>
      <c r="U340" s="57"/>
      <c r="V340" s="57"/>
      <c r="W340" s="57"/>
      <c r="X340" s="57"/>
      <c r="Y340" s="57"/>
      <c r="Z340" s="57"/>
      <c r="AA340" s="57"/>
      <c r="AB340" s="57"/>
      <c r="AC340" s="197"/>
      <c r="CN340" s="32"/>
      <c r="CO340" s="32"/>
    </row>
    <row r="341" customFormat="false" ht="12.75" hidden="false" customHeight="false" outlineLevel="0" collapsed="false">
      <c r="B341" s="236"/>
      <c r="C341" s="236"/>
      <c r="D341" s="236"/>
      <c r="E341" s="236"/>
      <c r="F341" s="236"/>
      <c r="G341" s="236"/>
      <c r="H341" s="236"/>
      <c r="I341" s="236"/>
      <c r="J341" s="236"/>
      <c r="K341" s="236"/>
      <c r="L341" s="236"/>
      <c r="M341" s="236"/>
      <c r="N341" s="236"/>
      <c r="P341" s="237"/>
      <c r="Q341" s="238"/>
      <c r="R341" s="238"/>
      <c r="S341" s="238"/>
      <c r="T341" s="238"/>
      <c r="U341" s="238"/>
      <c r="V341" s="238"/>
      <c r="W341" s="238"/>
      <c r="X341" s="238"/>
      <c r="Y341" s="238"/>
      <c r="Z341" s="238"/>
      <c r="AA341" s="238"/>
      <c r="AB341" s="238"/>
      <c r="AC341" s="239"/>
      <c r="CN341" s="32"/>
      <c r="CO341" s="32"/>
    </row>
    <row r="342" customFormat="false" ht="12.75" hidden="false" customHeight="false" outlineLevel="0" collapsed="false">
      <c r="P342" s="243"/>
      <c r="Q342" s="244"/>
      <c r="R342" s="244"/>
      <c r="S342" s="244"/>
      <c r="T342" s="244"/>
      <c r="U342" s="244"/>
      <c r="V342" s="244"/>
      <c r="W342" s="244"/>
      <c r="X342" s="244"/>
      <c r="Y342" s="244"/>
      <c r="Z342" s="244"/>
      <c r="AA342" s="244"/>
      <c r="AB342" s="244"/>
      <c r="AC342" s="245"/>
      <c r="CN342" s="32"/>
      <c r="CO342" s="32"/>
    </row>
    <row r="343" customFormat="false" ht="12.75" hidden="false" customHeight="false" outlineLevel="0" collapsed="false">
      <c r="B343" s="246" t="s">
        <v>806</v>
      </c>
      <c r="C343" s="246"/>
      <c r="D343" s="246"/>
      <c r="E343" s="246"/>
      <c r="F343" s="246"/>
      <c r="G343" s="246"/>
      <c r="H343" s="246"/>
      <c r="I343" s="246"/>
      <c r="J343" s="246"/>
      <c r="K343" s="246"/>
      <c r="L343" s="246"/>
      <c r="M343" s="246"/>
      <c r="N343" s="246"/>
      <c r="CN343" s="32"/>
      <c r="CO343" s="32"/>
    </row>
    <row r="344" customFormat="false" ht="12.75" hidden="false" customHeight="false" outlineLevel="0" collapsed="false">
      <c r="B344" s="198"/>
      <c r="C344" s="198"/>
      <c r="D344" s="198"/>
      <c r="E344" s="198"/>
      <c r="F344" s="198"/>
      <c r="G344" s="198"/>
      <c r="H344" s="198"/>
      <c r="I344" s="198"/>
      <c r="J344" s="198"/>
      <c r="K344" s="198"/>
      <c r="L344" s="198"/>
      <c r="M344" s="198"/>
      <c r="N344" s="198"/>
      <c r="P344" s="50" t="s">
        <v>807</v>
      </c>
      <c r="Q344" s="57"/>
      <c r="R344" s="57"/>
      <c r="S344" s="57"/>
      <c r="T344" s="57"/>
      <c r="U344" s="57"/>
      <c r="V344" s="57"/>
      <c r="W344" s="57"/>
      <c r="X344" s="57"/>
      <c r="Y344" s="57"/>
      <c r="Z344" s="57"/>
      <c r="AA344" s="57"/>
      <c r="AB344" s="57"/>
      <c r="AC344" s="197"/>
      <c r="CN344" s="32"/>
      <c r="CO344" s="32"/>
    </row>
    <row r="345" customFormat="false" ht="12.75" hidden="false" customHeight="false" outlineLevel="0" collapsed="false">
      <c r="B345" s="198"/>
      <c r="C345" s="198"/>
      <c r="D345" s="198"/>
      <c r="E345" s="198"/>
      <c r="F345" s="198"/>
      <c r="G345" s="198"/>
      <c r="H345" s="198"/>
      <c r="I345" s="198"/>
      <c r="J345" s="198"/>
      <c r="K345" s="198"/>
      <c r="L345" s="198"/>
      <c r="M345" s="198"/>
      <c r="N345" s="198"/>
      <c r="P345" s="237"/>
      <c r="Q345" s="238"/>
      <c r="R345" s="238"/>
      <c r="S345" s="238"/>
      <c r="T345" s="238"/>
      <c r="U345" s="238"/>
      <c r="V345" s="238"/>
      <c r="W345" s="238"/>
      <c r="X345" s="238"/>
      <c r="Y345" s="238"/>
      <c r="Z345" s="238"/>
      <c r="AA345" s="238"/>
      <c r="AB345" s="238"/>
      <c r="AC345" s="239"/>
      <c r="CN345" s="32"/>
      <c r="CO345" s="32"/>
    </row>
    <row r="346" customFormat="false" ht="12.75" hidden="false" customHeight="false" outlineLevel="0" collapsed="false">
      <c r="B346" s="198"/>
      <c r="C346" s="198"/>
      <c r="D346" s="198"/>
      <c r="E346" s="198"/>
      <c r="F346" s="198"/>
      <c r="G346" s="198"/>
      <c r="H346" s="198"/>
      <c r="I346" s="198"/>
      <c r="J346" s="198"/>
      <c r="K346" s="198"/>
      <c r="L346" s="198"/>
      <c r="M346" s="198"/>
      <c r="N346" s="198"/>
      <c r="P346" s="243"/>
      <c r="Q346" s="244"/>
      <c r="R346" s="244"/>
      <c r="S346" s="244"/>
      <c r="T346" s="244"/>
      <c r="U346" s="244"/>
      <c r="V346" s="244"/>
      <c r="W346" s="244"/>
      <c r="X346" s="244"/>
      <c r="Y346" s="244"/>
      <c r="Z346" s="244"/>
      <c r="AA346" s="244"/>
      <c r="AB346" s="244"/>
      <c r="AC346" s="245"/>
      <c r="CN346" s="32"/>
      <c r="CO346" s="32"/>
    </row>
    <row r="347" customFormat="false" ht="12.75" hidden="false" customHeight="false" outlineLevel="0" collapsed="false">
      <c r="B347" s="151"/>
      <c r="C347" s="69"/>
      <c r="D347" s="69"/>
      <c r="E347" s="69"/>
      <c r="F347" s="69"/>
      <c r="G347" s="69"/>
      <c r="H347" s="69"/>
      <c r="I347" s="69"/>
      <c r="J347" s="69"/>
      <c r="K347" s="69"/>
      <c r="L347" s="69"/>
      <c r="M347" s="69"/>
      <c r="N347" s="55"/>
      <c r="CN347" s="32"/>
      <c r="CO347" s="32"/>
    </row>
    <row r="348" customFormat="false" ht="12.75" hidden="false" customHeight="false" outlineLevel="0" collapsed="false">
      <c r="B348" s="151"/>
      <c r="C348" s="69"/>
      <c r="D348" s="69"/>
      <c r="E348" s="69"/>
      <c r="F348" s="69"/>
      <c r="G348" s="69"/>
      <c r="H348" s="69"/>
      <c r="I348" s="69"/>
      <c r="J348" s="69"/>
      <c r="K348" s="69"/>
      <c r="L348" s="69"/>
      <c r="M348" s="69"/>
      <c r="N348" s="55"/>
      <c r="P348" s="50" t="s">
        <v>808</v>
      </c>
      <c r="Q348" s="51"/>
      <c r="R348" s="51"/>
      <c r="S348" s="51"/>
      <c r="T348" s="51"/>
      <c r="U348" s="51"/>
      <c r="V348" s="51"/>
      <c r="W348" s="51"/>
      <c r="X348" s="51"/>
      <c r="Y348" s="51"/>
      <c r="Z348" s="51"/>
      <c r="AA348" s="51"/>
      <c r="AB348" s="51"/>
      <c r="AC348" s="52"/>
      <c r="CN348" s="32"/>
      <c r="CO348" s="32"/>
    </row>
    <row r="349" customFormat="false" ht="12.75" hidden="false" customHeight="false" outlineLevel="0" collapsed="false">
      <c r="B349" s="151"/>
      <c r="C349" s="69"/>
      <c r="D349" s="69"/>
      <c r="E349" s="69"/>
      <c r="F349" s="69"/>
      <c r="G349" s="69"/>
      <c r="H349" s="69"/>
      <c r="I349" s="69"/>
      <c r="J349" s="69"/>
      <c r="K349" s="69"/>
      <c r="L349" s="69"/>
      <c r="M349" s="69"/>
      <c r="N349" s="55"/>
      <c r="P349" s="237"/>
      <c r="Q349" s="238"/>
      <c r="R349" s="238"/>
      <c r="S349" s="238"/>
      <c r="T349" s="238"/>
      <c r="U349" s="238"/>
      <c r="V349" s="238"/>
      <c r="W349" s="238"/>
      <c r="X349" s="238"/>
      <c r="Y349" s="238"/>
      <c r="Z349" s="238"/>
      <c r="AA349" s="238"/>
      <c r="AB349" s="238"/>
      <c r="AC349" s="239"/>
      <c r="CN349" s="32"/>
      <c r="CO349" s="32"/>
    </row>
    <row r="350" customFormat="false" ht="12.75" hidden="false" customHeight="false" outlineLevel="0" collapsed="false">
      <c r="B350" s="170"/>
      <c r="C350" s="164"/>
      <c r="D350" s="164"/>
      <c r="E350" s="164"/>
      <c r="F350" s="164"/>
      <c r="G350" s="164"/>
      <c r="H350" s="164"/>
      <c r="I350" s="164"/>
      <c r="J350" s="164"/>
      <c r="K350" s="164"/>
      <c r="L350" s="164"/>
      <c r="M350" s="164"/>
      <c r="N350" s="165"/>
      <c r="P350" s="243"/>
      <c r="Q350" s="244"/>
      <c r="R350" s="244"/>
      <c r="S350" s="244"/>
      <c r="T350" s="244"/>
      <c r="U350" s="244"/>
      <c r="V350" s="244"/>
      <c r="W350" s="244"/>
      <c r="X350" s="244"/>
      <c r="Y350" s="244"/>
      <c r="Z350" s="244"/>
      <c r="AA350" s="244"/>
      <c r="AB350" s="244"/>
      <c r="AC350" s="245"/>
      <c r="CN350" s="32"/>
      <c r="CO350" s="32"/>
    </row>
    <row r="351" customFormat="false" ht="12.75" hidden="false" customHeight="false" outlineLevel="0" collapsed="false">
      <c r="CN351" s="32"/>
      <c r="CO351" s="32"/>
    </row>
    <row r="352" customFormat="false" ht="12.75" hidden="false" customHeight="false" outlineLevel="0" collapsed="false">
      <c r="B352" s="194" t="s">
        <v>809</v>
      </c>
      <c r="C352" s="58"/>
      <c r="D352" s="58"/>
      <c r="E352" s="58"/>
      <c r="F352" s="58"/>
      <c r="G352" s="58"/>
      <c r="H352" s="58"/>
      <c r="I352" s="58"/>
      <c r="J352" s="58"/>
      <c r="K352" s="59"/>
      <c r="L352" s="247"/>
      <c r="M352" s="194" t="s">
        <v>810</v>
      </c>
      <c r="N352" s="58"/>
      <c r="O352" s="58"/>
      <c r="P352" s="58"/>
      <c r="Q352" s="58"/>
      <c r="R352" s="58"/>
      <c r="S352" s="58"/>
      <c r="T352" s="58"/>
      <c r="U352" s="58"/>
      <c r="V352" s="59"/>
      <c r="X352" s="194" t="s">
        <v>811</v>
      </c>
      <c r="Y352" s="248"/>
      <c r="Z352" s="248"/>
      <c r="AA352" s="248"/>
      <c r="AB352" s="248"/>
      <c r="AC352" s="248"/>
      <c r="AD352" s="248"/>
      <c r="AE352" s="249"/>
      <c r="CN352" s="32"/>
      <c r="CO352" s="32"/>
    </row>
    <row r="353" customFormat="false" ht="12.75" hidden="false" customHeight="false" outlineLevel="0" collapsed="false">
      <c r="B353" s="250" t="s">
        <v>812</v>
      </c>
      <c r="C353" s="116"/>
      <c r="D353" s="116" t="s">
        <v>813</v>
      </c>
      <c r="E353" s="116"/>
      <c r="F353" s="116"/>
      <c r="G353" s="116"/>
      <c r="H353" s="116"/>
      <c r="I353" s="116"/>
      <c r="J353" s="251" t="s">
        <v>814</v>
      </c>
      <c r="K353" s="117" t="s">
        <v>142</v>
      </c>
      <c r="L353" s="247"/>
      <c r="M353" s="250" t="s">
        <v>812</v>
      </c>
      <c r="N353" s="116"/>
      <c r="O353" s="116" t="s">
        <v>813</v>
      </c>
      <c r="P353" s="116"/>
      <c r="Q353" s="116"/>
      <c r="R353" s="116"/>
      <c r="S353" s="116"/>
      <c r="T353" s="116"/>
      <c r="U353" s="251" t="s">
        <v>814</v>
      </c>
      <c r="V353" s="117" t="s">
        <v>142</v>
      </c>
      <c r="X353" s="53" t="s">
        <v>163</v>
      </c>
      <c r="Y353" s="53"/>
      <c r="Z353" s="72"/>
      <c r="AA353" s="225"/>
      <c r="AB353" s="225"/>
      <c r="AC353" s="225"/>
      <c r="AD353" s="225"/>
      <c r="AE353" s="60"/>
      <c r="CN353" s="32"/>
      <c r="CO353" s="32"/>
    </row>
    <row r="354" customFormat="false" ht="12.75" hidden="false" customHeight="false" outlineLevel="0" collapsed="false">
      <c r="A354" s="32" t="n">
        <v>1</v>
      </c>
      <c r="B354" s="252" t="s">
        <v>815</v>
      </c>
      <c r="C354" s="253" t="s">
        <v>816</v>
      </c>
      <c r="D354" s="253"/>
      <c r="E354" s="253"/>
      <c r="F354" s="253"/>
      <c r="G354" s="253"/>
      <c r="H354" s="253"/>
      <c r="I354" s="253"/>
      <c r="J354" s="65" t="n">
        <v>6000</v>
      </c>
      <c r="K354" s="66" t="n">
        <f aca="false">IF(J354&lt;&gt;"", J354, "")</f>
        <v>6000</v>
      </c>
      <c r="L354" s="247" t="n">
        <v>1</v>
      </c>
      <c r="M354" s="252" t="s">
        <v>817</v>
      </c>
      <c r="N354" s="253" t="s">
        <v>818</v>
      </c>
      <c r="O354" s="253"/>
      <c r="P354" s="253"/>
      <c r="Q354" s="253"/>
      <c r="R354" s="253"/>
      <c r="S354" s="253"/>
      <c r="T354" s="253"/>
      <c r="U354" s="65" t="n">
        <v>74305</v>
      </c>
      <c r="V354" s="66" t="n">
        <f aca="false">IF(U354&lt;&gt;0, U354, "")</f>
        <v>74305</v>
      </c>
      <c r="X354" s="53" t="s">
        <v>819</v>
      </c>
      <c r="Y354" s="53"/>
      <c r="Z354" s="72"/>
      <c r="AA354" s="225"/>
      <c r="AB354" s="225"/>
      <c r="AC354" s="225"/>
      <c r="AD354" s="225"/>
      <c r="AE354" s="60"/>
      <c r="CN354" s="32"/>
      <c r="CO354" s="32"/>
    </row>
    <row r="355" customFormat="false" ht="12.75" hidden="false" customHeight="false" outlineLevel="0" collapsed="false">
      <c r="A355" s="32" t="n">
        <v>2</v>
      </c>
      <c r="B355" s="252" t="s">
        <v>820</v>
      </c>
      <c r="C355" s="253" t="s">
        <v>821</v>
      </c>
      <c r="D355" s="253"/>
      <c r="E355" s="253"/>
      <c r="F355" s="253"/>
      <c r="G355" s="253"/>
      <c r="H355" s="253"/>
      <c r="I355" s="253"/>
      <c r="J355" s="65" t="n">
        <v>1230</v>
      </c>
      <c r="K355" s="66" t="n">
        <f aca="false">IF(J355&lt;&gt;"", J355+K354, "")</f>
        <v>7230</v>
      </c>
      <c r="L355" s="247" t="n">
        <v>2</v>
      </c>
      <c r="M355" s="252" t="s">
        <v>822</v>
      </c>
      <c r="N355" s="253" t="s">
        <v>823</v>
      </c>
      <c r="O355" s="253"/>
      <c r="P355" s="253"/>
      <c r="Q355" s="253"/>
      <c r="R355" s="253"/>
      <c r="S355" s="253"/>
      <c r="T355" s="253"/>
      <c r="U355" s="65" t="n">
        <v>945</v>
      </c>
      <c r="V355" s="66" t="n">
        <f aca="false">IF(U355&lt;&gt;0, U355+V354, "")</f>
        <v>75250</v>
      </c>
      <c r="X355" s="53" t="s">
        <v>165</v>
      </c>
      <c r="Y355" s="53"/>
      <c r="Z355" s="72"/>
      <c r="AA355" s="65"/>
      <c r="AB355" s="254" t="s">
        <v>237</v>
      </c>
      <c r="AC355" s="254"/>
      <c r="AD355" s="254"/>
      <c r="AE355" s="88"/>
      <c r="CN355" s="32"/>
      <c r="CO355" s="32"/>
    </row>
    <row r="356" customFormat="false" ht="12.75" hidden="false" customHeight="false" outlineLevel="0" collapsed="false">
      <c r="A356" s="32" t="n">
        <v>3</v>
      </c>
      <c r="B356" s="252" t="s">
        <v>824</v>
      </c>
      <c r="C356" s="253" t="s">
        <v>825</v>
      </c>
      <c r="D356" s="253"/>
      <c r="E356" s="253"/>
      <c r="F356" s="253"/>
      <c r="G356" s="253"/>
      <c r="H356" s="253"/>
      <c r="I356" s="253"/>
      <c r="J356" s="65" t="n">
        <v>1530</v>
      </c>
      <c r="K356" s="66" t="n">
        <f aca="false">IF(J356&lt;&gt;"", J356+K355, "")</f>
        <v>8760</v>
      </c>
      <c r="L356" s="247" t="n">
        <v>3</v>
      </c>
      <c r="M356" s="252" t="s">
        <v>826</v>
      </c>
      <c r="N356" s="253" t="s">
        <v>823</v>
      </c>
      <c r="O356" s="253"/>
      <c r="P356" s="253"/>
      <c r="Q356" s="253"/>
      <c r="R356" s="253"/>
      <c r="S356" s="253"/>
      <c r="T356" s="253"/>
      <c r="U356" s="65" t="n">
        <v>16620</v>
      </c>
      <c r="V356" s="66" t="n">
        <f aca="false">IF(U356&lt;&gt;0, U356+V355, "")</f>
        <v>91870</v>
      </c>
      <c r="X356" s="53" t="s">
        <v>171</v>
      </c>
      <c r="Y356" s="53"/>
      <c r="Z356" s="72"/>
      <c r="AA356" s="65"/>
      <c r="AB356" s="254" t="s">
        <v>226</v>
      </c>
      <c r="AC356" s="254"/>
      <c r="AD356" s="254"/>
      <c r="AE356" s="88"/>
      <c r="CN356" s="32"/>
      <c r="CO356" s="32"/>
    </row>
    <row r="357" customFormat="false" ht="12.75" hidden="false" customHeight="false" outlineLevel="0" collapsed="false">
      <c r="A357" s="32" t="n">
        <v>4</v>
      </c>
      <c r="B357" s="252" t="s">
        <v>827</v>
      </c>
      <c r="C357" s="253" t="s">
        <v>828</v>
      </c>
      <c r="D357" s="253"/>
      <c r="E357" s="253"/>
      <c r="F357" s="253"/>
      <c r="G357" s="253"/>
      <c r="H357" s="253"/>
      <c r="I357" s="253"/>
      <c r="J357" s="65" t="n">
        <v>750</v>
      </c>
      <c r="K357" s="66" t="n">
        <f aca="false">IF(J357&lt;&gt;"", J357+K356, "")</f>
        <v>9510</v>
      </c>
      <c r="L357" s="247" t="n">
        <v>4</v>
      </c>
      <c r="M357" s="252" t="s">
        <v>829</v>
      </c>
      <c r="N357" s="253" t="s">
        <v>830</v>
      </c>
      <c r="O357" s="253"/>
      <c r="P357" s="253"/>
      <c r="Q357" s="253"/>
      <c r="R357" s="253"/>
      <c r="S357" s="253"/>
      <c r="T357" s="253"/>
      <c r="U357" s="65" t="n">
        <v>445</v>
      </c>
      <c r="V357" s="66" t="n">
        <f aca="false">IF(U357&lt;&gt;0, U357+V356, "")</f>
        <v>92315</v>
      </c>
      <c r="X357" s="53" t="s">
        <v>178</v>
      </c>
      <c r="Y357" s="53"/>
      <c r="Z357" s="72"/>
      <c r="AA357" s="65"/>
      <c r="AB357" s="254" t="s">
        <v>228</v>
      </c>
      <c r="AC357" s="254"/>
      <c r="AD357" s="254"/>
      <c r="AE357" s="88"/>
      <c r="CN357" s="32"/>
      <c r="CO357" s="32"/>
    </row>
    <row r="358" customFormat="false" ht="12.75" hidden="false" customHeight="false" outlineLevel="0" collapsed="false">
      <c r="A358" s="32" t="n">
        <v>5</v>
      </c>
      <c r="B358" s="252" t="s">
        <v>831</v>
      </c>
      <c r="C358" s="253" t="s">
        <v>832</v>
      </c>
      <c r="D358" s="253"/>
      <c r="E358" s="253"/>
      <c r="F358" s="253"/>
      <c r="G358" s="253"/>
      <c r="H358" s="253"/>
      <c r="I358" s="253"/>
      <c r="J358" s="65" t="n">
        <v>1200</v>
      </c>
      <c r="K358" s="66" t="n">
        <f aca="false">IF(J358&lt;&gt;"", J358+K357, "")</f>
        <v>10710</v>
      </c>
      <c r="L358" s="247" t="n">
        <v>5</v>
      </c>
      <c r="M358" s="252" t="s">
        <v>833</v>
      </c>
      <c r="N358" s="253" t="s">
        <v>834</v>
      </c>
      <c r="O358" s="253"/>
      <c r="P358" s="253"/>
      <c r="Q358" s="253"/>
      <c r="R358" s="253"/>
      <c r="S358" s="253"/>
      <c r="T358" s="253"/>
      <c r="U358" s="65" t="n">
        <v>425</v>
      </c>
      <c r="V358" s="66" t="n">
        <f aca="false">IF(U358&lt;&gt;0, U358+V357, "")</f>
        <v>92740</v>
      </c>
      <c r="X358" s="53" t="s">
        <v>183</v>
      </c>
      <c r="Y358" s="53"/>
      <c r="Z358" s="72"/>
      <c r="AA358" s="65"/>
      <c r="AB358" s="254" t="s">
        <v>231</v>
      </c>
      <c r="AC358" s="254"/>
      <c r="AD358" s="254"/>
      <c r="AE358" s="88"/>
      <c r="CN358" s="32"/>
      <c r="CO358" s="32"/>
    </row>
    <row r="359" customFormat="false" ht="12.75" hidden="false" customHeight="false" outlineLevel="0" collapsed="false">
      <c r="A359" s="32" t="n">
        <v>6</v>
      </c>
      <c r="B359" s="252" t="s">
        <v>835</v>
      </c>
      <c r="C359" s="253" t="s">
        <v>836</v>
      </c>
      <c r="D359" s="253"/>
      <c r="E359" s="253"/>
      <c r="F359" s="253"/>
      <c r="G359" s="253"/>
      <c r="H359" s="253"/>
      <c r="I359" s="253"/>
      <c r="J359" s="65" t="n">
        <v>850</v>
      </c>
      <c r="K359" s="66" t="n">
        <f aca="false">IF(J359&lt;&gt;"", J359+K358, "")</f>
        <v>11560</v>
      </c>
      <c r="L359" s="247" t="n">
        <v>6</v>
      </c>
      <c r="M359" s="252" t="s">
        <v>837</v>
      </c>
      <c r="N359" s="253" t="s">
        <v>838</v>
      </c>
      <c r="O359" s="253"/>
      <c r="P359" s="253"/>
      <c r="Q359" s="253"/>
      <c r="R359" s="253"/>
      <c r="S359" s="253"/>
      <c r="T359" s="253"/>
      <c r="U359" s="65" t="n">
        <v>2250</v>
      </c>
      <c r="V359" s="66" t="n">
        <f aca="false">IF(U359&lt;&gt;0, U359+V358, "")</f>
        <v>94990</v>
      </c>
      <c r="X359" s="53" t="s">
        <v>839</v>
      </c>
      <c r="Y359" s="53"/>
      <c r="Z359" s="72"/>
      <c r="AA359" s="65"/>
      <c r="AB359" s="254" t="s">
        <v>233</v>
      </c>
      <c r="AC359" s="254"/>
      <c r="AD359" s="254"/>
      <c r="AE359" s="88"/>
      <c r="CN359" s="32"/>
      <c r="CO359" s="32"/>
    </row>
    <row r="360" customFormat="false" ht="12.75" hidden="false" customHeight="false" outlineLevel="0" collapsed="false">
      <c r="A360" s="32" t="n">
        <v>7</v>
      </c>
      <c r="B360" s="252" t="s">
        <v>840</v>
      </c>
      <c r="C360" s="253" t="s">
        <v>841</v>
      </c>
      <c r="D360" s="253"/>
      <c r="E360" s="253"/>
      <c r="F360" s="253"/>
      <c r="G360" s="253"/>
      <c r="H360" s="253"/>
      <c r="I360" s="253"/>
      <c r="J360" s="65" t="n">
        <v>900</v>
      </c>
      <c r="K360" s="66" t="n">
        <f aca="false">IF(J360&lt;&gt;"", J360+K359, "")</f>
        <v>12460</v>
      </c>
      <c r="L360" s="247" t="n">
        <v>7</v>
      </c>
      <c r="M360" s="252" t="s">
        <v>842</v>
      </c>
      <c r="N360" s="253" t="s">
        <v>843</v>
      </c>
      <c r="O360" s="253"/>
      <c r="P360" s="253"/>
      <c r="Q360" s="253"/>
      <c r="R360" s="253"/>
      <c r="S360" s="253"/>
      <c r="T360" s="253"/>
      <c r="U360" s="65" t="n">
        <v>4600</v>
      </c>
      <c r="V360" s="66" t="n">
        <f aca="false">IF(U360&lt;&gt;0, U360+V359, "")</f>
        <v>99590</v>
      </c>
      <c r="X360" s="53" t="s">
        <v>191</v>
      </c>
      <c r="Y360" s="53"/>
      <c r="Z360" s="72"/>
      <c r="AA360" s="65"/>
      <c r="AB360" s="254" t="s">
        <v>235</v>
      </c>
      <c r="AC360" s="254"/>
      <c r="AD360" s="254"/>
      <c r="AE360" s="88"/>
      <c r="CN360" s="32"/>
      <c r="CO360" s="32"/>
    </row>
    <row r="361" customFormat="false" ht="12.75" hidden="false" customHeight="false" outlineLevel="0" collapsed="false">
      <c r="A361" s="32" t="n">
        <v>8</v>
      </c>
      <c r="B361" s="252" t="s">
        <v>844</v>
      </c>
      <c r="C361" s="253" t="s">
        <v>845</v>
      </c>
      <c r="D361" s="253"/>
      <c r="E361" s="253"/>
      <c r="F361" s="253"/>
      <c r="G361" s="253"/>
      <c r="H361" s="253"/>
      <c r="I361" s="253"/>
      <c r="J361" s="65" t="n">
        <v>1300</v>
      </c>
      <c r="K361" s="66" t="n">
        <f aca="false">IF(J361&lt;&gt;"", J361+K360, "")</f>
        <v>13760</v>
      </c>
      <c r="L361" s="247" t="n">
        <v>8</v>
      </c>
      <c r="M361" s="252" t="s">
        <v>846</v>
      </c>
      <c r="N361" s="253" t="s">
        <v>847</v>
      </c>
      <c r="O361" s="253"/>
      <c r="P361" s="253"/>
      <c r="Q361" s="253"/>
      <c r="R361" s="253"/>
      <c r="S361" s="253"/>
      <c r="T361" s="253"/>
      <c r="U361" s="65" t="n">
        <v>3900</v>
      </c>
      <c r="V361" s="66" t="n">
        <f aca="false">IF(U361&lt;&gt;0, U361+V360, "")</f>
        <v>103490</v>
      </c>
      <c r="X361" s="53" t="s">
        <v>848</v>
      </c>
      <c r="Y361" s="53"/>
      <c r="Z361" s="72"/>
      <c r="AA361" s="65"/>
      <c r="AB361" s="254" t="s">
        <v>243</v>
      </c>
      <c r="AC361" s="254"/>
      <c r="AD361" s="254"/>
      <c r="AE361" s="88"/>
      <c r="CN361" s="32"/>
      <c r="CO361" s="32"/>
    </row>
    <row r="362" customFormat="false" ht="12.75" hidden="false" customHeight="false" outlineLevel="0" collapsed="false">
      <c r="A362" s="32" t="n">
        <v>9</v>
      </c>
      <c r="B362" s="252" t="s">
        <v>849</v>
      </c>
      <c r="C362" s="253" t="s">
        <v>850</v>
      </c>
      <c r="D362" s="253"/>
      <c r="E362" s="253"/>
      <c r="F362" s="253"/>
      <c r="G362" s="253"/>
      <c r="H362" s="253"/>
      <c r="I362" s="253"/>
      <c r="J362" s="65" t="n">
        <v>800</v>
      </c>
      <c r="K362" s="66" t="n">
        <f aca="false">IF(J362&lt;&gt;"", J362+K361, "")</f>
        <v>14560</v>
      </c>
      <c r="L362" s="247" t="n">
        <v>9</v>
      </c>
      <c r="M362" s="252" t="s">
        <v>851</v>
      </c>
      <c r="N362" s="253" t="s">
        <v>852</v>
      </c>
      <c r="O362" s="253"/>
      <c r="P362" s="253"/>
      <c r="Q362" s="253"/>
      <c r="R362" s="253"/>
      <c r="S362" s="253"/>
      <c r="T362" s="253"/>
      <c r="U362" s="65" t="n">
        <v>11250</v>
      </c>
      <c r="V362" s="66" t="n">
        <f aca="false">IF(U362&lt;&gt;0, U362+V361, "")</f>
        <v>114740</v>
      </c>
      <c r="X362" s="53" t="s">
        <v>853</v>
      </c>
      <c r="Y362" s="53"/>
      <c r="Z362" s="72"/>
      <c r="AA362" s="65"/>
      <c r="AB362" s="254" t="s">
        <v>854</v>
      </c>
      <c r="AC362" s="254"/>
      <c r="AD362" s="254"/>
      <c r="AE362" s="88"/>
      <c r="CN362" s="32"/>
      <c r="CO362" s="32"/>
    </row>
    <row r="363" customFormat="false" ht="12.75" hidden="false" customHeight="false" outlineLevel="0" collapsed="false">
      <c r="A363" s="32" t="n">
        <v>10</v>
      </c>
      <c r="B363" s="252" t="s">
        <v>855</v>
      </c>
      <c r="C363" s="253" t="s">
        <v>856</v>
      </c>
      <c r="D363" s="253"/>
      <c r="E363" s="253"/>
      <c r="F363" s="253"/>
      <c r="G363" s="253"/>
      <c r="H363" s="253"/>
      <c r="I363" s="253"/>
      <c r="J363" s="65" t="n">
        <v>750</v>
      </c>
      <c r="K363" s="66" t="n">
        <f aca="false">IF(J363&lt;&gt;"", J363+K362, "")</f>
        <v>15310</v>
      </c>
      <c r="L363" s="247" t="n">
        <v>10</v>
      </c>
      <c r="M363" s="252" t="s">
        <v>857</v>
      </c>
      <c r="N363" s="253" t="s">
        <v>858</v>
      </c>
      <c r="O363" s="253"/>
      <c r="P363" s="253"/>
      <c r="Q363" s="253"/>
      <c r="R363" s="253"/>
      <c r="S363" s="253"/>
      <c r="T363" s="253"/>
      <c r="U363" s="65" t="n">
        <v>2650</v>
      </c>
      <c r="V363" s="66" t="n">
        <f aca="false">IF(U363&lt;&gt;0, U363+V362, "")</f>
        <v>117390</v>
      </c>
      <c r="X363" s="53" t="s">
        <v>859</v>
      </c>
      <c r="Y363" s="53"/>
      <c r="Z363" s="72"/>
      <c r="AA363" s="65"/>
      <c r="AB363" s="254" t="s">
        <v>860</v>
      </c>
      <c r="AC363" s="254"/>
      <c r="AD363" s="254"/>
      <c r="AE363" s="88"/>
      <c r="CN363" s="32"/>
      <c r="CO363" s="32"/>
    </row>
    <row r="364" customFormat="false" ht="12.75" hidden="false" customHeight="false" outlineLevel="0" collapsed="false">
      <c r="A364" s="32" t="n">
        <v>11</v>
      </c>
      <c r="B364" s="252" t="s">
        <v>861</v>
      </c>
      <c r="C364" s="253" t="s">
        <v>862</v>
      </c>
      <c r="D364" s="253"/>
      <c r="E364" s="253"/>
      <c r="F364" s="253"/>
      <c r="G364" s="253"/>
      <c r="H364" s="253"/>
      <c r="I364" s="253"/>
      <c r="J364" s="65" t="n">
        <v>500</v>
      </c>
      <c r="K364" s="66" t="n">
        <f aca="false">IF(J364&lt;&gt;"", J364+K363, "")</f>
        <v>15810</v>
      </c>
      <c r="L364" s="247" t="n">
        <v>11</v>
      </c>
      <c r="M364" s="252" t="s">
        <v>863</v>
      </c>
      <c r="N364" s="253" t="s">
        <v>864</v>
      </c>
      <c r="O364" s="253"/>
      <c r="P364" s="253"/>
      <c r="Q364" s="253"/>
      <c r="R364" s="253"/>
      <c r="S364" s="253"/>
      <c r="T364" s="253"/>
      <c r="U364" s="65" t="n">
        <v>15005</v>
      </c>
      <c r="V364" s="66" t="n">
        <f aca="false">IF(U364&lt;&gt;0, U364+V363, "")</f>
        <v>132395</v>
      </c>
      <c r="X364" s="53" t="s">
        <v>865</v>
      </c>
      <c r="Y364" s="53"/>
      <c r="Z364" s="72"/>
      <c r="AA364" s="65"/>
      <c r="AB364" s="254" t="s">
        <v>866</v>
      </c>
      <c r="AC364" s="254"/>
      <c r="AD364" s="254"/>
      <c r="AE364" s="88"/>
      <c r="CN364" s="32"/>
      <c r="CO364" s="32"/>
    </row>
    <row r="365" customFormat="false" ht="12.75" hidden="false" customHeight="false" outlineLevel="0" collapsed="false">
      <c r="A365" s="32" t="n">
        <v>12</v>
      </c>
      <c r="B365" s="252" t="s">
        <v>867</v>
      </c>
      <c r="C365" s="253" t="s">
        <v>868</v>
      </c>
      <c r="D365" s="253"/>
      <c r="E365" s="253"/>
      <c r="F365" s="253"/>
      <c r="G365" s="253"/>
      <c r="H365" s="253"/>
      <c r="I365" s="253"/>
      <c r="J365" s="65" t="n">
        <v>650</v>
      </c>
      <c r="K365" s="66" t="n">
        <f aca="false">IF(J365&lt;&gt;"", J365+K364, "")</f>
        <v>16460</v>
      </c>
      <c r="L365" s="247" t="n">
        <v>12</v>
      </c>
      <c r="M365" s="252" t="s">
        <v>869</v>
      </c>
      <c r="N365" s="253" t="s">
        <v>870</v>
      </c>
      <c r="O365" s="253"/>
      <c r="P365" s="253"/>
      <c r="Q365" s="253"/>
      <c r="R365" s="253"/>
      <c r="S365" s="253"/>
      <c r="T365" s="253"/>
      <c r="U365" s="65" t="n">
        <v>2700</v>
      </c>
      <c r="V365" s="66" t="n">
        <f aca="false">IF(U365&lt;&gt;0, U365+V364, "")</f>
        <v>135095</v>
      </c>
      <c r="X365" s="53" t="s">
        <v>871</v>
      </c>
      <c r="Y365" s="53"/>
      <c r="Z365" s="72"/>
      <c r="AA365" s="65"/>
      <c r="AB365" s="254" t="s">
        <v>872</v>
      </c>
      <c r="AC365" s="254"/>
      <c r="AD365" s="254"/>
      <c r="AE365" s="88"/>
      <c r="CN365" s="32"/>
      <c r="CO365" s="32"/>
    </row>
    <row r="366" customFormat="false" ht="12.75" hidden="false" customHeight="false" outlineLevel="0" collapsed="false">
      <c r="A366" s="32" t="n">
        <v>13</v>
      </c>
      <c r="B366" s="252" t="s">
        <v>873</v>
      </c>
      <c r="C366" s="253" t="s">
        <v>874</v>
      </c>
      <c r="D366" s="253"/>
      <c r="E366" s="253"/>
      <c r="F366" s="253"/>
      <c r="G366" s="253"/>
      <c r="H366" s="253"/>
      <c r="I366" s="253"/>
      <c r="J366" s="65" t="n">
        <v>600</v>
      </c>
      <c r="K366" s="66" t="n">
        <f aca="false">IF(J366&lt;&gt;"", J366+K365, "")</f>
        <v>17060</v>
      </c>
      <c r="L366" s="247" t="n">
        <v>13</v>
      </c>
      <c r="M366" s="252" t="s">
        <v>875</v>
      </c>
      <c r="N366" s="253" t="s">
        <v>876</v>
      </c>
      <c r="O366" s="253"/>
      <c r="P366" s="253"/>
      <c r="Q366" s="253"/>
      <c r="R366" s="253"/>
      <c r="S366" s="253"/>
      <c r="T366" s="253"/>
      <c r="U366" s="65" t="n">
        <v>200</v>
      </c>
      <c r="V366" s="66" t="n">
        <f aca="false">IF(U366&lt;&gt;0, U366+V365, "")</f>
        <v>135295</v>
      </c>
      <c r="X366" s="53" t="s">
        <v>877</v>
      </c>
      <c r="Y366" s="53"/>
      <c r="Z366" s="72"/>
      <c r="AA366" s="65"/>
      <c r="AB366" s="254" t="s">
        <v>878</v>
      </c>
      <c r="AC366" s="254"/>
      <c r="AD366" s="254"/>
      <c r="AE366" s="88"/>
      <c r="CN366" s="32"/>
      <c r="CO366" s="32"/>
    </row>
    <row r="367" customFormat="false" ht="12.75" hidden="false" customHeight="false" outlineLevel="0" collapsed="false">
      <c r="A367" s="32" t="n">
        <v>14</v>
      </c>
      <c r="B367" s="252" t="s">
        <v>879</v>
      </c>
      <c r="C367" s="253" t="s">
        <v>880</v>
      </c>
      <c r="D367" s="253"/>
      <c r="E367" s="253"/>
      <c r="F367" s="253"/>
      <c r="G367" s="253"/>
      <c r="H367" s="253"/>
      <c r="I367" s="253"/>
      <c r="J367" s="65" t="n">
        <v>1000</v>
      </c>
      <c r="K367" s="66" t="n">
        <f aca="false">IF(J367&lt;&gt;"", J367+K366, "")</f>
        <v>18060</v>
      </c>
      <c r="L367" s="247" t="n">
        <v>14</v>
      </c>
      <c r="M367" s="252" t="s">
        <v>881</v>
      </c>
      <c r="N367" s="253" t="s">
        <v>882</v>
      </c>
      <c r="O367" s="253"/>
      <c r="P367" s="253"/>
      <c r="Q367" s="253"/>
      <c r="R367" s="253"/>
      <c r="S367" s="253"/>
      <c r="T367" s="253"/>
      <c r="U367" s="65" t="n">
        <v>4140</v>
      </c>
      <c r="V367" s="66" t="n">
        <f aca="false">IF(U367&lt;&gt;0, U367+V366, "")</f>
        <v>139435</v>
      </c>
      <c r="X367" s="53" t="s">
        <v>193</v>
      </c>
      <c r="Y367" s="53"/>
      <c r="Z367" s="72"/>
      <c r="AA367" s="65"/>
      <c r="AB367" s="254" t="s">
        <v>883</v>
      </c>
      <c r="AC367" s="254"/>
      <c r="AD367" s="254"/>
      <c r="AE367" s="88"/>
      <c r="CN367" s="32"/>
      <c r="CO367" s="32"/>
    </row>
    <row r="368" customFormat="false" ht="12.75" hidden="false" customHeight="true" outlineLevel="0" collapsed="false">
      <c r="A368" s="32" t="n">
        <v>15</v>
      </c>
      <c r="B368" s="252" t="s">
        <v>884</v>
      </c>
      <c r="C368" s="253" t="s">
        <v>880</v>
      </c>
      <c r="D368" s="253"/>
      <c r="E368" s="253"/>
      <c r="F368" s="253"/>
      <c r="G368" s="253"/>
      <c r="H368" s="253"/>
      <c r="I368" s="253"/>
      <c r="J368" s="65" t="n">
        <v>1950</v>
      </c>
      <c r="K368" s="66" t="n">
        <f aca="false">IF(J368&lt;&gt;"", J368+K367, "")</f>
        <v>20010</v>
      </c>
      <c r="L368" s="247" t="n">
        <v>15</v>
      </c>
      <c r="M368" s="252" t="s">
        <v>885</v>
      </c>
      <c r="N368" s="253" t="s">
        <v>886</v>
      </c>
      <c r="O368" s="253"/>
      <c r="P368" s="253"/>
      <c r="Q368" s="253"/>
      <c r="R368" s="253"/>
      <c r="S368" s="253"/>
      <c r="T368" s="253"/>
      <c r="U368" s="65" t="n">
        <v>3505</v>
      </c>
      <c r="V368" s="66" t="n">
        <f aca="false">IF(U368&lt;&gt;0, U368+V367, "")</f>
        <v>142940</v>
      </c>
      <c r="X368" s="255" t="s">
        <v>887</v>
      </c>
      <c r="Y368" s="255"/>
      <c r="Z368" s="256"/>
      <c r="AA368" s="238"/>
      <c r="AB368" s="257"/>
      <c r="AC368" s="257"/>
      <c r="AD368" s="257"/>
      <c r="AE368" s="258"/>
      <c r="CN368" s="32"/>
      <c r="CO368" s="32"/>
    </row>
    <row r="369" customFormat="false" ht="12.8" hidden="false" customHeight="false" outlineLevel="0" collapsed="false">
      <c r="A369" s="32" t="n">
        <v>16</v>
      </c>
      <c r="B369" s="252" t="s">
        <v>888</v>
      </c>
      <c r="C369" s="253" t="s">
        <v>889</v>
      </c>
      <c r="D369" s="253"/>
      <c r="E369" s="253"/>
      <c r="F369" s="253"/>
      <c r="G369" s="253"/>
      <c r="H369" s="253"/>
      <c r="I369" s="253"/>
      <c r="J369" s="65" t="n">
        <v>2000</v>
      </c>
      <c r="K369" s="66" t="n">
        <f aca="false">IF(J369&lt;&gt;"", J369+K368, "")</f>
        <v>22010</v>
      </c>
      <c r="L369" s="247" t="n">
        <v>16</v>
      </c>
      <c r="M369" s="252" t="s">
        <v>890</v>
      </c>
      <c r="N369" s="253" t="s">
        <v>891</v>
      </c>
      <c r="O369" s="253"/>
      <c r="P369" s="253"/>
      <c r="Q369" s="253"/>
      <c r="R369" s="253"/>
      <c r="S369" s="253"/>
      <c r="T369" s="253"/>
      <c r="U369" s="65" t="n">
        <v>9230</v>
      </c>
      <c r="V369" s="66" t="n">
        <f aca="false">IF(U369&lt;&gt;0, U369+V368, "")</f>
        <v>152170</v>
      </c>
      <c r="X369" s="255"/>
      <c r="Y369" s="255"/>
      <c r="Z369" s="259"/>
      <c r="AA369" s="260"/>
      <c r="AB369" s="260"/>
      <c r="AC369" s="260"/>
      <c r="AD369" s="260"/>
      <c r="AE369" s="261"/>
      <c r="CN369" s="32"/>
      <c r="CO369" s="32"/>
    </row>
    <row r="370" customFormat="false" ht="12.75" hidden="false" customHeight="false" outlineLevel="0" collapsed="false">
      <c r="A370" s="32" t="n">
        <v>17</v>
      </c>
      <c r="B370" s="252" t="s">
        <v>892</v>
      </c>
      <c r="C370" s="253" t="s">
        <v>893</v>
      </c>
      <c r="D370" s="253"/>
      <c r="E370" s="253"/>
      <c r="F370" s="253"/>
      <c r="G370" s="253"/>
      <c r="H370" s="253"/>
      <c r="I370" s="253"/>
      <c r="J370" s="65" t="n">
        <v>1500</v>
      </c>
      <c r="K370" s="66" t="n">
        <f aca="false">IF(J370&lt;&gt;"", J370+K369, "")</f>
        <v>23510</v>
      </c>
      <c r="L370" s="247" t="n">
        <v>17</v>
      </c>
      <c r="M370" s="252" t="s">
        <v>894</v>
      </c>
      <c r="N370" s="253" t="s">
        <v>895</v>
      </c>
      <c r="O370" s="253"/>
      <c r="P370" s="253"/>
      <c r="Q370" s="253"/>
      <c r="R370" s="253"/>
      <c r="S370" s="253"/>
      <c r="T370" s="253"/>
      <c r="U370" s="65" t="n">
        <v>1950</v>
      </c>
      <c r="V370" s="66" t="n">
        <f aca="false">IF(U370&lt;&gt;0, U370+V369, "")</f>
        <v>154120</v>
      </c>
      <c r="X370" s="255"/>
      <c r="Y370" s="255"/>
      <c r="Z370" s="259"/>
      <c r="AA370" s="260"/>
      <c r="AB370" s="260"/>
      <c r="AC370" s="260"/>
      <c r="AD370" s="260"/>
      <c r="AE370" s="261"/>
      <c r="CN370" s="32"/>
      <c r="CO370" s="32"/>
    </row>
    <row r="371" customFormat="false" ht="12.75" hidden="false" customHeight="false" outlineLevel="0" collapsed="false">
      <c r="A371" s="32" t="n">
        <v>18</v>
      </c>
      <c r="B371" s="252" t="s">
        <v>896</v>
      </c>
      <c r="C371" s="253" t="s">
        <v>893</v>
      </c>
      <c r="D371" s="253"/>
      <c r="E371" s="253"/>
      <c r="F371" s="253"/>
      <c r="G371" s="253"/>
      <c r="H371" s="253"/>
      <c r="I371" s="253"/>
      <c r="J371" s="65" t="n">
        <v>850</v>
      </c>
      <c r="K371" s="66" t="n">
        <f aca="false">IF(J371&lt;&gt;"", J371+K370, "")</f>
        <v>24360</v>
      </c>
      <c r="L371" s="247" t="n">
        <v>18</v>
      </c>
      <c r="M371" s="252" t="s">
        <v>897</v>
      </c>
      <c r="N371" s="253" t="s">
        <v>898</v>
      </c>
      <c r="O371" s="253"/>
      <c r="P371" s="253"/>
      <c r="Q371" s="253"/>
      <c r="R371" s="253"/>
      <c r="S371" s="253"/>
      <c r="T371" s="253"/>
      <c r="U371" s="65" t="n">
        <v>4295</v>
      </c>
      <c r="V371" s="66" t="n">
        <f aca="false">IF(U371&lt;&gt;0, U371+V370, "")</f>
        <v>158415</v>
      </c>
      <c r="X371" s="255"/>
      <c r="Y371" s="255"/>
      <c r="Z371" s="262"/>
      <c r="AA371" s="263"/>
      <c r="AB371" s="263"/>
      <c r="AC371" s="263"/>
      <c r="AD371" s="263"/>
      <c r="AE371" s="264"/>
      <c r="CN371" s="32"/>
      <c r="CO371" s="32"/>
    </row>
    <row r="372" customFormat="false" ht="12.75" hidden="false" customHeight="false" outlineLevel="0" collapsed="false">
      <c r="A372" s="32" t="n">
        <v>19</v>
      </c>
      <c r="B372" s="252" t="s">
        <v>899</v>
      </c>
      <c r="C372" s="253" t="s">
        <v>893</v>
      </c>
      <c r="D372" s="253"/>
      <c r="E372" s="253"/>
      <c r="F372" s="253"/>
      <c r="G372" s="253"/>
      <c r="H372" s="253"/>
      <c r="I372" s="253"/>
      <c r="J372" s="65" t="n">
        <v>930</v>
      </c>
      <c r="K372" s="66" t="n">
        <f aca="false">IF(J372&lt;&gt;"", J372+K371, "")</f>
        <v>25290</v>
      </c>
      <c r="L372" s="247" t="n">
        <v>19</v>
      </c>
      <c r="M372" s="252" t="s">
        <v>900</v>
      </c>
      <c r="N372" s="253" t="s">
        <v>901</v>
      </c>
      <c r="O372" s="253"/>
      <c r="P372" s="253"/>
      <c r="Q372" s="253"/>
      <c r="R372" s="253"/>
      <c r="S372" s="253"/>
      <c r="T372" s="253"/>
      <c r="U372" s="65" t="n">
        <v>9590</v>
      </c>
      <c r="V372" s="66" t="n">
        <f aca="false">IF(U372&lt;&gt;0, U372+V371, "")</f>
        <v>168005</v>
      </c>
      <c r="CN372" s="32"/>
      <c r="CO372" s="32"/>
    </row>
    <row r="373" customFormat="false" ht="12.75" hidden="false" customHeight="false" outlineLevel="0" collapsed="false">
      <c r="A373" s="32" t="n">
        <v>20</v>
      </c>
      <c r="B373" s="252" t="s">
        <v>902</v>
      </c>
      <c r="C373" s="253" t="s">
        <v>893</v>
      </c>
      <c r="D373" s="253"/>
      <c r="E373" s="253"/>
      <c r="F373" s="253"/>
      <c r="G373" s="253"/>
      <c r="H373" s="253"/>
      <c r="I373" s="253"/>
      <c r="J373" s="65" t="n">
        <v>2320</v>
      </c>
      <c r="K373" s="66" t="n">
        <f aca="false">IF(J373&lt;&gt;"", J373+K372, "")</f>
        <v>27610</v>
      </c>
      <c r="L373" s="247" t="n">
        <v>20</v>
      </c>
      <c r="M373" s="252"/>
      <c r="N373" s="253" t="s">
        <v>903</v>
      </c>
      <c r="O373" s="253"/>
      <c r="P373" s="253"/>
      <c r="Q373" s="253"/>
      <c r="R373" s="253"/>
      <c r="S373" s="253"/>
      <c r="T373" s="253"/>
      <c r="U373" s="65" t="n">
        <v>3275</v>
      </c>
      <c r="V373" s="66" t="n">
        <f aca="false">IF(U373&lt;&gt;0, U373+V372, "")</f>
        <v>171280</v>
      </c>
      <c r="CN373" s="32"/>
      <c r="CO373" s="32"/>
    </row>
    <row r="374" customFormat="false" ht="12.75" hidden="false" customHeight="false" outlineLevel="0" collapsed="false">
      <c r="A374" s="32" t="n">
        <v>21</v>
      </c>
      <c r="B374" s="252" t="s">
        <v>904</v>
      </c>
      <c r="C374" s="253" t="s">
        <v>905</v>
      </c>
      <c r="D374" s="253"/>
      <c r="E374" s="253"/>
      <c r="F374" s="253"/>
      <c r="G374" s="253"/>
      <c r="H374" s="253"/>
      <c r="I374" s="253"/>
      <c r="J374" s="65" t="n">
        <v>1600</v>
      </c>
      <c r="K374" s="66" t="n">
        <f aca="false">IF(J374&lt;&gt;"", J374+K373, "")</f>
        <v>29210</v>
      </c>
      <c r="L374" s="247" t="n">
        <v>21</v>
      </c>
      <c r="M374" s="252"/>
      <c r="N374" s="253"/>
      <c r="O374" s="253"/>
      <c r="P374" s="253"/>
      <c r="Q374" s="253"/>
      <c r="R374" s="253"/>
      <c r="S374" s="253"/>
      <c r="T374" s="253"/>
      <c r="U374" s="65"/>
      <c r="V374" s="66" t="str">
        <f aca="false">IF(U374&lt;&gt;0, U374+V373, "")</f>
        <v/>
      </c>
      <c r="CN374" s="32"/>
      <c r="CO374" s="32"/>
    </row>
    <row r="375" customFormat="false" ht="12.75" hidden="false" customHeight="false" outlineLevel="0" collapsed="false">
      <c r="A375" s="32" t="n">
        <v>22</v>
      </c>
      <c r="B375" s="252" t="s">
        <v>906</v>
      </c>
      <c r="C375" s="253" t="s">
        <v>907</v>
      </c>
      <c r="D375" s="253"/>
      <c r="E375" s="253"/>
      <c r="F375" s="253"/>
      <c r="G375" s="253"/>
      <c r="H375" s="253"/>
      <c r="I375" s="253"/>
      <c r="J375" s="65" t="n">
        <v>1100</v>
      </c>
      <c r="K375" s="66" t="n">
        <f aca="false">IF(J375&lt;&gt;"", J375+K374, "")</f>
        <v>30310</v>
      </c>
      <c r="L375" s="247" t="n">
        <v>22</v>
      </c>
      <c r="M375" s="252"/>
      <c r="N375" s="253"/>
      <c r="O375" s="253"/>
      <c r="P375" s="253"/>
      <c r="Q375" s="253"/>
      <c r="R375" s="253"/>
      <c r="S375" s="253"/>
      <c r="T375" s="253"/>
      <c r="U375" s="65"/>
      <c r="V375" s="66" t="str">
        <f aca="false">IF(U375&lt;&gt;0, U375+V374, "")</f>
        <v/>
      </c>
      <c r="CN375" s="32"/>
      <c r="CO375" s="32"/>
    </row>
    <row r="376" customFormat="false" ht="12.75" hidden="false" customHeight="false" outlineLevel="0" collapsed="false">
      <c r="A376" s="32" t="n">
        <v>23</v>
      </c>
      <c r="B376" s="252" t="s">
        <v>908</v>
      </c>
      <c r="C376" s="253" t="s">
        <v>909</v>
      </c>
      <c r="D376" s="253"/>
      <c r="E376" s="253"/>
      <c r="F376" s="253"/>
      <c r="G376" s="253"/>
      <c r="H376" s="253"/>
      <c r="I376" s="253"/>
      <c r="J376" s="65" t="n">
        <v>1240</v>
      </c>
      <c r="K376" s="66" t="n">
        <f aca="false">IF(J376&lt;&gt;"", J376+K375, "")</f>
        <v>31550</v>
      </c>
      <c r="L376" s="247" t="n">
        <v>23</v>
      </c>
      <c r="M376" s="252"/>
      <c r="N376" s="253"/>
      <c r="O376" s="253"/>
      <c r="P376" s="253"/>
      <c r="Q376" s="253"/>
      <c r="R376" s="253"/>
      <c r="S376" s="253"/>
      <c r="T376" s="253"/>
      <c r="U376" s="65"/>
      <c r="V376" s="66" t="str">
        <f aca="false">IF(U376&lt;&gt;0, U376+V375, "")</f>
        <v/>
      </c>
      <c r="CN376" s="32"/>
      <c r="CO376" s="32"/>
    </row>
    <row r="377" customFormat="false" ht="12.75" hidden="false" customHeight="false" outlineLevel="0" collapsed="false">
      <c r="A377" s="32" t="n">
        <v>24</v>
      </c>
      <c r="B377" s="252" t="s">
        <v>910</v>
      </c>
      <c r="C377" s="253" t="s">
        <v>911</v>
      </c>
      <c r="D377" s="253"/>
      <c r="E377" s="253"/>
      <c r="F377" s="253"/>
      <c r="G377" s="253"/>
      <c r="H377" s="253"/>
      <c r="I377" s="253"/>
      <c r="J377" s="65" t="n">
        <v>1150</v>
      </c>
      <c r="K377" s="66" t="n">
        <f aca="false">IF(J377&lt;&gt;"", J377+K376, "")</f>
        <v>32700</v>
      </c>
      <c r="L377" s="247" t="n">
        <v>24</v>
      </c>
      <c r="M377" s="252"/>
      <c r="N377" s="253"/>
      <c r="O377" s="253"/>
      <c r="P377" s="253"/>
      <c r="Q377" s="253"/>
      <c r="R377" s="253"/>
      <c r="S377" s="253"/>
      <c r="T377" s="253"/>
      <c r="U377" s="65"/>
      <c r="V377" s="66" t="str">
        <f aca="false">IF(U377&lt;&gt;0, U377+V376, "")</f>
        <v/>
      </c>
      <c r="CN377" s="32"/>
      <c r="CO377" s="32"/>
    </row>
    <row r="378" customFormat="false" ht="12.75" hidden="false" customHeight="false" outlineLevel="0" collapsed="false">
      <c r="A378" s="32" t="n">
        <v>25</v>
      </c>
      <c r="B378" s="252" t="s">
        <v>912</v>
      </c>
      <c r="C378" s="253" t="s">
        <v>913</v>
      </c>
      <c r="D378" s="253"/>
      <c r="E378" s="253"/>
      <c r="F378" s="253"/>
      <c r="G378" s="253"/>
      <c r="H378" s="253"/>
      <c r="I378" s="253"/>
      <c r="J378" s="65" t="n">
        <v>1330</v>
      </c>
      <c r="K378" s="66" t="n">
        <f aca="false">IF(J378&lt;&gt;"", J378+K377, "")</f>
        <v>34030</v>
      </c>
      <c r="L378" s="247" t="n">
        <v>25</v>
      </c>
      <c r="M378" s="252"/>
      <c r="N378" s="253"/>
      <c r="O378" s="253"/>
      <c r="P378" s="253"/>
      <c r="Q378" s="253"/>
      <c r="R378" s="253"/>
      <c r="S378" s="253"/>
      <c r="T378" s="253"/>
      <c r="U378" s="65"/>
      <c r="V378" s="66" t="str">
        <f aca="false">IF(U378&lt;&gt;0, U378+V377, "")</f>
        <v/>
      </c>
      <c r="CN378" s="32"/>
      <c r="CO378" s="32"/>
    </row>
    <row r="379" customFormat="false" ht="12.75" hidden="false" customHeight="false" outlineLevel="0" collapsed="false">
      <c r="A379" s="32" t="n">
        <v>26</v>
      </c>
      <c r="B379" s="252" t="s">
        <v>914</v>
      </c>
      <c r="C379" s="253" t="s">
        <v>915</v>
      </c>
      <c r="D379" s="253"/>
      <c r="E379" s="253"/>
      <c r="F379" s="253"/>
      <c r="G379" s="253"/>
      <c r="H379" s="253"/>
      <c r="I379" s="253"/>
      <c r="J379" s="65" t="n">
        <v>2820</v>
      </c>
      <c r="K379" s="66" t="n">
        <f aca="false">IF(J379&lt;&gt;"", J379+K378, "")</f>
        <v>36850</v>
      </c>
      <c r="L379" s="247" t="n">
        <v>26</v>
      </c>
      <c r="M379" s="252"/>
      <c r="N379" s="253"/>
      <c r="O379" s="253"/>
      <c r="P379" s="253"/>
      <c r="Q379" s="253"/>
      <c r="R379" s="253"/>
      <c r="S379" s="253"/>
      <c r="T379" s="253"/>
      <c r="U379" s="65"/>
      <c r="V379" s="66" t="str">
        <f aca="false">IF(U379&lt;&gt;0, U379+V378, "")</f>
        <v/>
      </c>
      <c r="CN379" s="32"/>
      <c r="CO379" s="32"/>
    </row>
    <row r="380" customFormat="false" ht="12.75" hidden="false" customHeight="false" outlineLevel="0" collapsed="false">
      <c r="A380" s="32" t="n">
        <v>27</v>
      </c>
      <c r="B380" s="252" t="s">
        <v>916</v>
      </c>
      <c r="C380" s="253" t="s">
        <v>917</v>
      </c>
      <c r="D380" s="253"/>
      <c r="E380" s="253"/>
      <c r="F380" s="253"/>
      <c r="G380" s="253"/>
      <c r="H380" s="253"/>
      <c r="I380" s="253"/>
      <c r="J380" s="65" t="n">
        <v>6660</v>
      </c>
      <c r="K380" s="66" t="n">
        <f aca="false">IF(J380&lt;&gt;"", J380+K379, "")</f>
        <v>43510</v>
      </c>
      <c r="L380" s="247" t="n">
        <v>27</v>
      </c>
      <c r="M380" s="252"/>
      <c r="N380" s="253"/>
      <c r="O380" s="253"/>
      <c r="P380" s="253"/>
      <c r="Q380" s="253"/>
      <c r="R380" s="253"/>
      <c r="S380" s="253"/>
      <c r="T380" s="253"/>
      <c r="U380" s="65"/>
      <c r="V380" s="66" t="str">
        <f aca="false">IF(U380&lt;&gt;0, U380+V379, "")</f>
        <v/>
      </c>
      <c r="CN380" s="32"/>
      <c r="CO380" s="32"/>
    </row>
    <row r="381" customFormat="false" ht="12.75" hidden="false" customHeight="false" outlineLevel="0" collapsed="false">
      <c r="A381" s="32" t="n">
        <v>28</v>
      </c>
      <c r="B381" s="252" t="s">
        <v>918</v>
      </c>
      <c r="C381" s="253" t="s">
        <v>919</v>
      </c>
      <c r="D381" s="253"/>
      <c r="E381" s="253"/>
      <c r="F381" s="253"/>
      <c r="G381" s="253"/>
      <c r="H381" s="253"/>
      <c r="I381" s="253"/>
      <c r="J381" s="65" t="n">
        <v>1050</v>
      </c>
      <c r="K381" s="66" t="n">
        <f aca="false">IF(J381&lt;&gt;"", J381+K380, "")</f>
        <v>44560</v>
      </c>
      <c r="L381" s="247" t="n">
        <v>28</v>
      </c>
      <c r="M381" s="252"/>
      <c r="N381" s="253"/>
      <c r="O381" s="253"/>
      <c r="P381" s="253"/>
      <c r="Q381" s="253"/>
      <c r="R381" s="253"/>
      <c r="S381" s="253"/>
      <c r="T381" s="253"/>
      <c r="U381" s="65"/>
      <c r="V381" s="66" t="str">
        <f aca="false">IF(U381&lt;&gt;0, U381+V380, "")</f>
        <v/>
      </c>
      <c r="CN381" s="32"/>
      <c r="CO381" s="32"/>
    </row>
    <row r="382" customFormat="false" ht="12.75" hidden="false" customHeight="false" outlineLevel="0" collapsed="false">
      <c r="A382" s="32" t="n">
        <v>29</v>
      </c>
      <c r="B382" s="252" t="s">
        <v>920</v>
      </c>
      <c r="C382" s="253" t="s">
        <v>921</v>
      </c>
      <c r="D382" s="253"/>
      <c r="E382" s="253"/>
      <c r="F382" s="253"/>
      <c r="G382" s="253"/>
      <c r="H382" s="253"/>
      <c r="I382" s="253"/>
      <c r="J382" s="65" t="n">
        <v>6480</v>
      </c>
      <c r="K382" s="66" t="n">
        <f aca="false">IF(J382&lt;&gt;"", J382+K381, "")</f>
        <v>51040</v>
      </c>
      <c r="L382" s="247" t="n">
        <v>29</v>
      </c>
      <c r="M382" s="252"/>
      <c r="N382" s="253"/>
      <c r="O382" s="253"/>
      <c r="P382" s="253"/>
      <c r="Q382" s="253"/>
      <c r="R382" s="253"/>
      <c r="S382" s="253"/>
      <c r="T382" s="253"/>
      <c r="U382" s="65"/>
      <c r="V382" s="66" t="str">
        <f aca="false">IF(U382&lt;&gt;0, U382+V381, "")</f>
        <v/>
      </c>
      <c r="CN382" s="32"/>
      <c r="CO382" s="32"/>
    </row>
    <row r="383" customFormat="false" ht="12.75" hidden="false" customHeight="false" outlineLevel="0" collapsed="false">
      <c r="A383" s="32" t="n">
        <v>30</v>
      </c>
      <c r="B383" s="252" t="s">
        <v>922</v>
      </c>
      <c r="C383" s="253" t="s">
        <v>923</v>
      </c>
      <c r="D383" s="253"/>
      <c r="E383" s="253"/>
      <c r="F383" s="253"/>
      <c r="G383" s="253"/>
      <c r="H383" s="253"/>
      <c r="I383" s="253"/>
      <c r="J383" s="65" t="n">
        <v>3250</v>
      </c>
      <c r="K383" s="66" t="n">
        <f aca="false">IF(J383&lt;&gt;"", J383+K382, "")</f>
        <v>54290</v>
      </c>
      <c r="L383" s="247" t="n">
        <v>30</v>
      </c>
      <c r="M383" s="252"/>
      <c r="N383" s="253"/>
      <c r="O383" s="253"/>
      <c r="P383" s="253"/>
      <c r="Q383" s="253"/>
      <c r="R383" s="253"/>
      <c r="S383" s="253"/>
      <c r="T383" s="253"/>
      <c r="U383" s="65"/>
      <c r="V383" s="66" t="str">
        <f aca="false">IF(U383&lt;&gt;0, U383+V382, "")</f>
        <v/>
      </c>
      <c r="CN383" s="32"/>
      <c r="CO383" s="32"/>
    </row>
    <row r="384" customFormat="false" ht="12.75" hidden="false" customHeight="false" outlineLevel="0" collapsed="false">
      <c r="A384" s="32" t="n">
        <v>31</v>
      </c>
      <c r="B384" s="252" t="s">
        <v>924</v>
      </c>
      <c r="C384" s="253" t="s">
        <v>925</v>
      </c>
      <c r="D384" s="253"/>
      <c r="E384" s="253"/>
      <c r="F384" s="253"/>
      <c r="G384" s="253"/>
      <c r="H384" s="253"/>
      <c r="I384" s="253"/>
      <c r="J384" s="65" t="n">
        <v>2000</v>
      </c>
      <c r="K384" s="66" t="n">
        <f aca="false">IF(J384&lt;&gt;"", J384+K383, "")</f>
        <v>56290</v>
      </c>
      <c r="L384" s="247" t="n">
        <v>31</v>
      </c>
      <c r="M384" s="252"/>
      <c r="N384" s="253"/>
      <c r="O384" s="253"/>
      <c r="P384" s="253"/>
      <c r="Q384" s="253"/>
      <c r="R384" s="253"/>
      <c r="S384" s="253"/>
      <c r="T384" s="253"/>
      <c r="U384" s="65"/>
      <c r="V384" s="66" t="str">
        <f aca="false">IF(U384&lt;&gt;0, U384+V383, "")</f>
        <v/>
      </c>
      <c r="CN384" s="32"/>
      <c r="CO384" s="32"/>
    </row>
    <row r="385" customFormat="false" ht="12.75" hidden="false" customHeight="false" outlineLevel="0" collapsed="false">
      <c r="A385" s="32" t="n">
        <v>32</v>
      </c>
      <c r="B385" s="252" t="s">
        <v>926</v>
      </c>
      <c r="C385" s="253" t="s">
        <v>925</v>
      </c>
      <c r="D385" s="253"/>
      <c r="E385" s="253"/>
      <c r="F385" s="253"/>
      <c r="G385" s="253"/>
      <c r="H385" s="253"/>
      <c r="I385" s="253"/>
      <c r="J385" s="65" t="n">
        <v>1500</v>
      </c>
      <c r="K385" s="66" t="n">
        <f aca="false">IF(J385&lt;&gt;"", J385+K384, "")</f>
        <v>57790</v>
      </c>
      <c r="L385" s="247" t="n">
        <v>32</v>
      </c>
      <c r="M385" s="252"/>
      <c r="N385" s="253"/>
      <c r="O385" s="253"/>
      <c r="P385" s="253"/>
      <c r="Q385" s="253"/>
      <c r="R385" s="253"/>
      <c r="S385" s="253"/>
      <c r="T385" s="253"/>
      <c r="U385" s="65"/>
      <c r="V385" s="66" t="str">
        <f aca="false">IF(U385&lt;&gt;0, U385+V384, "")</f>
        <v/>
      </c>
      <c r="CN385" s="32"/>
      <c r="CO385" s="32"/>
    </row>
    <row r="386" customFormat="false" ht="12.75" hidden="false" customHeight="false" outlineLevel="0" collapsed="false">
      <c r="A386" s="32" t="n">
        <v>33</v>
      </c>
      <c r="B386" s="252" t="s">
        <v>927</v>
      </c>
      <c r="C386" s="253" t="s">
        <v>925</v>
      </c>
      <c r="D386" s="253"/>
      <c r="E386" s="253"/>
      <c r="F386" s="253"/>
      <c r="G386" s="253"/>
      <c r="H386" s="253"/>
      <c r="I386" s="253"/>
      <c r="J386" s="65" t="n">
        <v>4675</v>
      </c>
      <c r="K386" s="66" t="n">
        <f aca="false">IF(J386&lt;&gt;"", J386+K385, "")</f>
        <v>62465</v>
      </c>
      <c r="L386" s="247" t="n">
        <v>33</v>
      </c>
      <c r="M386" s="252"/>
      <c r="N386" s="253"/>
      <c r="O386" s="253"/>
      <c r="P386" s="253"/>
      <c r="Q386" s="253"/>
      <c r="R386" s="253"/>
      <c r="S386" s="253"/>
      <c r="T386" s="253"/>
      <c r="U386" s="65"/>
      <c r="V386" s="66" t="str">
        <f aca="false">IF(U386&lt;&gt;0, U386+V385, "")</f>
        <v/>
      </c>
      <c r="CN386" s="32"/>
      <c r="CO386" s="32"/>
    </row>
    <row r="387" customFormat="false" ht="12.75" hidden="false" customHeight="false" outlineLevel="0" collapsed="false">
      <c r="A387" s="32" t="n">
        <v>34</v>
      </c>
      <c r="B387" s="252" t="s">
        <v>928</v>
      </c>
      <c r="C387" s="253" t="s">
        <v>929</v>
      </c>
      <c r="D387" s="253"/>
      <c r="E387" s="253"/>
      <c r="F387" s="253"/>
      <c r="G387" s="253"/>
      <c r="H387" s="253"/>
      <c r="I387" s="253"/>
      <c r="J387" s="65" t="n">
        <v>1930</v>
      </c>
      <c r="K387" s="66" t="n">
        <f aca="false">IF(J387&lt;&gt;"", J387+K386, "")</f>
        <v>64395</v>
      </c>
      <c r="L387" s="247" t="n">
        <v>34</v>
      </c>
      <c r="M387" s="252"/>
      <c r="N387" s="253"/>
      <c r="O387" s="253"/>
      <c r="P387" s="253"/>
      <c r="Q387" s="253"/>
      <c r="R387" s="253"/>
      <c r="S387" s="253"/>
      <c r="T387" s="253"/>
      <c r="U387" s="65"/>
      <c r="V387" s="66" t="str">
        <f aca="false">IF(U387&lt;&gt;0, U387+V386, "")</f>
        <v/>
      </c>
      <c r="CN387" s="32"/>
      <c r="CO387" s="32"/>
    </row>
    <row r="388" customFormat="false" ht="12.75" hidden="false" customHeight="false" outlineLevel="0" collapsed="false">
      <c r="A388" s="32" t="n">
        <v>35</v>
      </c>
      <c r="B388" s="252" t="s">
        <v>930</v>
      </c>
      <c r="C388" s="253" t="s">
        <v>931</v>
      </c>
      <c r="D388" s="253"/>
      <c r="E388" s="253"/>
      <c r="F388" s="253"/>
      <c r="G388" s="253"/>
      <c r="H388" s="253"/>
      <c r="I388" s="253"/>
      <c r="J388" s="65" t="n">
        <v>2530</v>
      </c>
      <c r="K388" s="66" t="n">
        <f aca="false">IF(J388&lt;&gt;"", J388+K387, "")</f>
        <v>66925</v>
      </c>
      <c r="L388" s="247" t="n">
        <v>35</v>
      </c>
      <c r="M388" s="252"/>
      <c r="N388" s="253"/>
      <c r="O388" s="253"/>
      <c r="P388" s="253"/>
      <c r="Q388" s="253"/>
      <c r="R388" s="253"/>
      <c r="S388" s="253"/>
      <c r="T388" s="253"/>
      <c r="U388" s="65"/>
      <c r="V388" s="66" t="str">
        <f aca="false">IF(U388&lt;&gt;0, U388+V387, "")</f>
        <v/>
      </c>
      <c r="CN388" s="32"/>
      <c r="CO388" s="32"/>
    </row>
    <row r="389" customFormat="false" ht="12.75" hidden="false" customHeight="false" outlineLevel="0" collapsed="false">
      <c r="A389" s="32" t="n">
        <v>36</v>
      </c>
      <c r="B389" s="252" t="s">
        <v>932</v>
      </c>
      <c r="C389" s="253" t="s">
        <v>933</v>
      </c>
      <c r="D389" s="253"/>
      <c r="E389" s="253"/>
      <c r="F389" s="253"/>
      <c r="G389" s="253"/>
      <c r="H389" s="253"/>
      <c r="I389" s="253"/>
      <c r="J389" s="65" t="n">
        <v>1210</v>
      </c>
      <c r="K389" s="66" t="n">
        <f aca="false">IF(J389&lt;&gt;"", J389+K388, "")</f>
        <v>68135</v>
      </c>
      <c r="L389" s="247" t="n">
        <v>36</v>
      </c>
      <c r="M389" s="252"/>
      <c r="N389" s="253"/>
      <c r="O389" s="253"/>
      <c r="P389" s="253"/>
      <c r="Q389" s="253"/>
      <c r="R389" s="253"/>
      <c r="S389" s="253"/>
      <c r="T389" s="253"/>
      <c r="U389" s="65"/>
      <c r="V389" s="66" t="str">
        <f aca="false">IF(U389&lt;&gt;0, U389+V388, "")</f>
        <v/>
      </c>
      <c r="CN389" s="32"/>
      <c r="CO389" s="32"/>
    </row>
    <row r="390" customFormat="false" ht="12.75" hidden="false" customHeight="false" outlineLevel="0" collapsed="false">
      <c r="A390" s="32" t="n">
        <v>37</v>
      </c>
      <c r="B390" s="265" t="s">
        <v>934</v>
      </c>
      <c r="C390" s="266" t="s">
        <v>935</v>
      </c>
      <c r="D390" s="266"/>
      <c r="E390" s="266"/>
      <c r="F390" s="266"/>
      <c r="G390" s="266"/>
      <c r="H390" s="266"/>
      <c r="I390" s="266"/>
      <c r="J390" s="137" t="n">
        <v>5170</v>
      </c>
      <c r="K390" s="66" t="n">
        <f aca="false">IF(J390&lt;&gt;"", J390+K389, "")</f>
        <v>73305</v>
      </c>
      <c r="L390" s="247" t="n">
        <v>37</v>
      </c>
      <c r="M390" s="265"/>
      <c r="N390" s="266"/>
      <c r="O390" s="266"/>
      <c r="P390" s="266"/>
      <c r="Q390" s="266"/>
      <c r="R390" s="266"/>
      <c r="S390" s="266"/>
      <c r="T390" s="266"/>
      <c r="U390" s="137"/>
      <c r="V390" s="156" t="str">
        <f aca="false">IF(U390&lt;&gt;0, U390+V389, "")</f>
        <v/>
      </c>
      <c r="CN390" s="32"/>
      <c r="CO390" s="32"/>
    </row>
    <row r="391" customFormat="false" ht="12.75" hidden="false" customHeight="false" outlineLevel="0" collapsed="false">
      <c r="CN391" s="32"/>
      <c r="CO391" s="32"/>
    </row>
    <row r="392" customFormat="false" ht="12.75" hidden="false" customHeight="false" outlineLevel="0" collapsed="false">
      <c r="B392" s="267" t="s">
        <v>936</v>
      </c>
      <c r="C392" s="51"/>
      <c r="D392" s="51"/>
      <c r="E392" s="51"/>
      <c r="F392" s="52"/>
      <c r="H392" s="267" t="s">
        <v>936</v>
      </c>
      <c r="I392" s="51"/>
      <c r="J392" s="51"/>
      <c r="K392" s="51"/>
      <c r="L392" s="52"/>
      <c r="N392" s="267" t="s">
        <v>936</v>
      </c>
      <c r="O392" s="51"/>
      <c r="P392" s="51"/>
      <c r="Q392" s="51"/>
      <c r="R392" s="52"/>
      <c r="T392" s="267" t="s">
        <v>936</v>
      </c>
      <c r="U392" s="51"/>
      <c r="V392" s="51"/>
      <c r="W392" s="51"/>
      <c r="X392" s="52"/>
      <c r="AA392" s="267" t="s">
        <v>936</v>
      </c>
      <c r="AB392" s="51"/>
      <c r="AC392" s="51"/>
      <c r="AD392" s="51"/>
      <c r="AE392" s="52"/>
      <c r="CN392" s="32"/>
      <c r="CO392" s="32"/>
    </row>
    <row r="393" customFormat="false" ht="12.75" hidden="false" customHeight="false" outlineLevel="0" collapsed="false">
      <c r="A393" s="32" t="n">
        <v>1</v>
      </c>
      <c r="B393" s="268"/>
      <c r="C393" s="67" t="str">
        <f aca="false">IF(OR(T$597&lt;1,Spells!B3=""),"",Spells!B3&amp;" ("&amp;Spells!C3&amp;")")</f>
        <v/>
      </c>
      <c r="D393" s="67"/>
      <c r="E393" s="67"/>
      <c r="F393" s="68"/>
      <c r="G393" s="32" t="n">
        <f aca="false">A422+1</f>
        <v>31</v>
      </c>
      <c r="H393" s="268"/>
      <c r="I393" s="67" t="str">
        <f aca="false">IF(OR(T$597&lt;1,Spells!B33=""),"",Spells!B33&amp;" ("&amp;Spells!C33&amp;")")</f>
        <v/>
      </c>
      <c r="J393" s="67"/>
      <c r="K393" s="67"/>
      <c r="L393" s="68"/>
      <c r="M393" s="32" t="n">
        <f aca="false">G422+1</f>
        <v>61</v>
      </c>
      <c r="N393" s="268"/>
      <c r="O393" s="67" t="str">
        <f aca="false">IF(OR(T$597&lt;1,Spells!B63=""),"",Spells!B63&amp;" ("&amp;Spells!C63&amp;")")</f>
        <v/>
      </c>
      <c r="P393" s="67"/>
      <c r="Q393" s="67"/>
      <c r="R393" s="68"/>
      <c r="S393" s="32" t="n">
        <v>91</v>
      </c>
      <c r="T393" s="268"/>
      <c r="U393" s="67" t="str">
        <f aca="false">IF(OR(T$597&lt;1,Spells!B93=""),"",Spells!B93&amp;" ("&amp;Spells!C93&amp;")")</f>
        <v/>
      </c>
      <c r="V393" s="67"/>
      <c r="W393" s="67"/>
      <c r="X393" s="68"/>
      <c r="Y393" s="32" t="n">
        <v>121</v>
      </c>
      <c r="AA393" s="268"/>
      <c r="AB393" s="67" t="str">
        <f aca="false">IF(OR(T$597&lt;1,Spells!B123=""),"",Spells!B123&amp;" ("&amp;Spells!C123&amp;")")</f>
        <v/>
      </c>
      <c r="AC393" s="67"/>
      <c r="AD393" s="67"/>
      <c r="AE393" s="68"/>
      <c r="CN393" s="32"/>
      <c r="CO393" s="32"/>
    </row>
    <row r="394" customFormat="false" ht="12.75" hidden="false" customHeight="false" outlineLevel="0" collapsed="false">
      <c r="A394" s="32" t="n">
        <v>2</v>
      </c>
      <c r="B394" s="268"/>
      <c r="C394" s="67" t="str">
        <f aca="false">IF(OR(T$597&lt;1,Spells!B4=""),"",Spells!B4&amp;" ("&amp;Spells!C4&amp;")")</f>
        <v/>
      </c>
      <c r="D394" s="67"/>
      <c r="E394" s="67"/>
      <c r="F394" s="68"/>
      <c r="G394" s="32" t="n">
        <f aca="false">G393+1</f>
        <v>32</v>
      </c>
      <c r="H394" s="268"/>
      <c r="I394" s="67" t="str">
        <f aca="false">IF(OR(T$597&lt;1,Spells!B34=""),"",Spells!B34&amp;" ("&amp;Spells!C34&amp;")")</f>
        <v/>
      </c>
      <c r="J394" s="67"/>
      <c r="K394" s="67"/>
      <c r="L394" s="68"/>
      <c r="M394" s="32" t="n">
        <f aca="false">M393+1</f>
        <v>62</v>
      </c>
      <c r="N394" s="268"/>
      <c r="O394" s="67" t="str">
        <f aca="false">IF(OR(T$597&lt;1,Spells!B64=""),"",Spells!B64&amp;" ("&amp;Spells!C64&amp;")")</f>
        <v/>
      </c>
      <c r="P394" s="67"/>
      <c r="Q394" s="67"/>
      <c r="R394" s="68"/>
      <c r="S394" s="32" t="n">
        <f aca="false">S393+1</f>
        <v>92</v>
      </c>
      <c r="T394" s="268"/>
      <c r="U394" s="67" t="str">
        <f aca="false">IF(OR(T$597&lt;1,Spells!B94=""),"",Spells!B94&amp;" ("&amp;Spells!C94&amp;")")</f>
        <v/>
      </c>
      <c r="V394" s="67"/>
      <c r="W394" s="67"/>
      <c r="X394" s="68"/>
      <c r="Y394" s="32" t="n">
        <v>122</v>
      </c>
      <c r="AA394" s="268"/>
      <c r="AB394" s="67" t="str">
        <f aca="false">IF(OR(T$597&lt;1,Spells!B124=""),"",Spells!B124&amp;" ("&amp;Spells!C124&amp;")")</f>
        <v/>
      </c>
      <c r="AC394" s="67"/>
      <c r="AD394" s="67"/>
      <c r="AE394" s="68"/>
      <c r="CN394" s="32"/>
      <c r="CO394" s="32"/>
    </row>
    <row r="395" customFormat="false" ht="12.75" hidden="false" customHeight="false" outlineLevel="0" collapsed="false">
      <c r="A395" s="32" t="n">
        <f aca="false">A394+1</f>
        <v>3</v>
      </c>
      <c r="B395" s="268"/>
      <c r="C395" s="67" t="str">
        <f aca="false">IF(OR(T$597&lt;1,Spells!B5=""),"",Spells!B5&amp;" ("&amp;Spells!C5&amp;")")</f>
        <v/>
      </c>
      <c r="D395" s="67"/>
      <c r="E395" s="67"/>
      <c r="F395" s="68"/>
      <c r="G395" s="32" t="n">
        <f aca="false">G394+1</f>
        <v>33</v>
      </c>
      <c r="H395" s="268"/>
      <c r="I395" s="67" t="str">
        <f aca="false">IF(OR(T$597&lt;1,Spells!B35=""),"",Spells!B35&amp;" ("&amp;Spells!C35&amp;")")</f>
        <v/>
      </c>
      <c r="J395" s="67"/>
      <c r="K395" s="67"/>
      <c r="L395" s="68"/>
      <c r="M395" s="32" t="n">
        <f aca="false">M394+1</f>
        <v>63</v>
      </c>
      <c r="N395" s="268"/>
      <c r="O395" s="67" t="str">
        <f aca="false">IF(OR(T$597&lt;1,Spells!B65=""),"",Spells!B65&amp;" ("&amp;Spells!C65&amp;")")</f>
        <v/>
      </c>
      <c r="P395" s="67"/>
      <c r="Q395" s="67"/>
      <c r="R395" s="68"/>
      <c r="S395" s="32" t="n">
        <f aca="false">S394+1</f>
        <v>93</v>
      </c>
      <c r="T395" s="268"/>
      <c r="U395" s="67" t="str">
        <f aca="false">IF(OR(T$597&lt;1,Spells!B95=""),"",Spells!B95&amp;" ("&amp;Spells!C95&amp;")")</f>
        <v/>
      </c>
      <c r="V395" s="67"/>
      <c r="W395" s="67"/>
      <c r="X395" s="68"/>
      <c r="Y395" s="32" t="n">
        <v>123</v>
      </c>
      <c r="AA395" s="268"/>
      <c r="AB395" s="67" t="str">
        <f aca="false">IF(OR(T$597&lt;1,Spells!B125=""),"",Spells!B125&amp;" ("&amp;Spells!C125&amp;")")</f>
        <v/>
      </c>
      <c r="AC395" s="67"/>
      <c r="AD395" s="67"/>
      <c r="AE395" s="68"/>
      <c r="CN395" s="32"/>
      <c r="CO395" s="32"/>
    </row>
    <row r="396" customFormat="false" ht="12.75" hidden="false" customHeight="false" outlineLevel="0" collapsed="false">
      <c r="A396" s="32" t="n">
        <f aca="false">A395+1</f>
        <v>4</v>
      </c>
      <c r="B396" s="268"/>
      <c r="C396" s="67" t="str">
        <f aca="false">IF(OR(T$597&lt;1,Spells!B6=""),"",Spells!B6&amp;" ("&amp;Spells!C6&amp;")")</f>
        <v/>
      </c>
      <c r="D396" s="67"/>
      <c r="E396" s="67"/>
      <c r="F396" s="68"/>
      <c r="G396" s="32" t="n">
        <f aca="false">G395+1</f>
        <v>34</v>
      </c>
      <c r="H396" s="268"/>
      <c r="I396" s="67" t="str">
        <f aca="false">IF(OR(T$597&lt;1,Spells!B36=""),"",Spells!B36&amp;" ("&amp;Spells!C36&amp;")")</f>
        <v/>
      </c>
      <c r="J396" s="67"/>
      <c r="K396" s="67"/>
      <c r="L396" s="68"/>
      <c r="M396" s="32" t="n">
        <f aca="false">M395+1</f>
        <v>64</v>
      </c>
      <c r="N396" s="268"/>
      <c r="O396" s="67" t="str">
        <f aca="false">IF(OR(T$597&lt;1,Spells!B66=""),"",Spells!B66&amp;" ("&amp;Spells!C66&amp;")")</f>
        <v/>
      </c>
      <c r="P396" s="67"/>
      <c r="Q396" s="67"/>
      <c r="R396" s="68"/>
      <c r="S396" s="32" t="n">
        <f aca="false">S395+1</f>
        <v>94</v>
      </c>
      <c r="T396" s="268"/>
      <c r="U396" s="67" t="str">
        <f aca="false">IF(OR(T$597&lt;1,Spells!B96=""),"",Spells!B96&amp;" ("&amp;Spells!C96&amp;")")</f>
        <v/>
      </c>
      <c r="V396" s="67"/>
      <c r="W396" s="67"/>
      <c r="X396" s="68"/>
      <c r="Y396" s="56" t="n">
        <v>124</v>
      </c>
      <c r="Z396" s="56"/>
      <c r="AA396" s="268"/>
      <c r="AB396" s="67" t="str">
        <f aca="false">IF(OR(T$597&lt;1,Spells!B126=""),"",Spells!B126&amp;" ("&amp;Spells!C126&amp;")")</f>
        <v/>
      </c>
      <c r="AC396" s="67"/>
      <c r="AD396" s="67"/>
      <c r="AE396" s="68"/>
      <c r="CN396" s="32"/>
      <c r="CO396" s="32"/>
    </row>
    <row r="397" customFormat="false" ht="12.75" hidden="false" customHeight="false" outlineLevel="0" collapsed="false">
      <c r="A397" s="32" t="n">
        <f aca="false">A396+1</f>
        <v>5</v>
      </c>
      <c r="B397" s="268"/>
      <c r="C397" s="67" t="str">
        <f aca="false">IF(OR(T$597&lt;1,Spells!B7=""),"",Spells!B7&amp;" ("&amp;Spells!C7&amp;")")</f>
        <v/>
      </c>
      <c r="D397" s="67"/>
      <c r="E397" s="67"/>
      <c r="F397" s="68"/>
      <c r="G397" s="32" t="n">
        <f aca="false">G396+1</f>
        <v>35</v>
      </c>
      <c r="H397" s="268"/>
      <c r="I397" s="67" t="str">
        <f aca="false">IF(OR(T$597&lt;1,Spells!B37=""),"",Spells!B37&amp;" ("&amp;Spells!C37&amp;")")</f>
        <v/>
      </c>
      <c r="J397" s="67"/>
      <c r="K397" s="67"/>
      <c r="L397" s="68"/>
      <c r="M397" s="32" t="n">
        <f aca="false">M396+1</f>
        <v>65</v>
      </c>
      <c r="N397" s="268"/>
      <c r="O397" s="67" t="str">
        <f aca="false">IF(OR(T$597&lt;1,Spells!B67=""),"",Spells!B67&amp;" ("&amp;Spells!C67&amp;")")</f>
        <v/>
      </c>
      <c r="P397" s="67"/>
      <c r="Q397" s="67"/>
      <c r="R397" s="68"/>
      <c r="S397" s="32" t="n">
        <f aca="false">S396+1</f>
        <v>95</v>
      </c>
      <c r="T397" s="268"/>
      <c r="U397" s="67" t="str">
        <f aca="false">IF(OR(T$597&lt;1,Spells!B97=""),"",Spells!B97&amp;" ("&amp;Spells!C97&amp;")")</f>
        <v/>
      </c>
      <c r="V397" s="67"/>
      <c r="W397" s="67"/>
      <c r="X397" s="68"/>
      <c r="Y397" s="56" t="n">
        <v>125</v>
      </c>
      <c r="Z397" s="56"/>
      <c r="AA397" s="268"/>
      <c r="AB397" s="67" t="str">
        <f aca="false">IF(OR(T$597&lt;1,Spells!B127=""),"",Spells!B127&amp;" ("&amp;Spells!C127&amp;")")</f>
        <v/>
      </c>
      <c r="AC397" s="67"/>
      <c r="AD397" s="67"/>
      <c r="AE397" s="68"/>
      <c r="CN397" s="32"/>
      <c r="CO397" s="32"/>
    </row>
    <row r="398" customFormat="false" ht="12.75" hidden="false" customHeight="false" outlineLevel="0" collapsed="false">
      <c r="A398" s="32" t="n">
        <f aca="false">A397+1</f>
        <v>6</v>
      </c>
      <c r="B398" s="268"/>
      <c r="C398" s="67" t="str">
        <f aca="false">IF(OR(T$597&lt;1,Spells!B8=""),"",Spells!B8&amp;" ("&amp;Spells!C8&amp;")")</f>
        <v/>
      </c>
      <c r="D398" s="67"/>
      <c r="E398" s="67"/>
      <c r="F398" s="68"/>
      <c r="G398" s="32" t="n">
        <f aca="false">G397+1</f>
        <v>36</v>
      </c>
      <c r="H398" s="268"/>
      <c r="I398" s="67" t="str">
        <f aca="false">IF(OR(T$597&lt;1,Spells!B38=""),"",Spells!B38&amp;" ("&amp;Spells!C38&amp;")")</f>
        <v/>
      </c>
      <c r="J398" s="67"/>
      <c r="K398" s="67"/>
      <c r="L398" s="68"/>
      <c r="M398" s="32" t="n">
        <f aca="false">M397+1</f>
        <v>66</v>
      </c>
      <c r="N398" s="268"/>
      <c r="O398" s="67" t="str">
        <f aca="false">IF(OR(T$597&lt;1,Spells!B68=""),"",Spells!B68&amp;" ("&amp;Spells!C68&amp;")")</f>
        <v/>
      </c>
      <c r="P398" s="67"/>
      <c r="Q398" s="67"/>
      <c r="R398" s="68"/>
      <c r="S398" s="32" t="n">
        <f aca="false">S397+1</f>
        <v>96</v>
      </c>
      <c r="T398" s="268"/>
      <c r="U398" s="67" t="str">
        <f aca="false">IF(OR(T$597&lt;1,Spells!B98=""),"",Spells!B98&amp;" ("&amp;Spells!C98&amp;")")</f>
        <v/>
      </c>
      <c r="V398" s="67"/>
      <c r="W398" s="67"/>
      <c r="X398" s="68"/>
      <c r="Y398" s="56" t="n">
        <v>126</v>
      </c>
      <c r="Z398" s="56"/>
      <c r="AA398" s="268"/>
      <c r="AB398" s="67" t="str">
        <f aca="false">IF(OR(T$597&lt;1,Spells!B128=""),"",Spells!B128&amp;" ("&amp;Spells!C128&amp;")")</f>
        <v/>
      </c>
      <c r="AC398" s="67"/>
      <c r="AD398" s="67"/>
      <c r="AE398" s="68"/>
      <c r="CN398" s="32"/>
      <c r="CO398" s="32"/>
    </row>
    <row r="399" customFormat="false" ht="12.75" hidden="false" customHeight="false" outlineLevel="0" collapsed="false">
      <c r="A399" s="32" t="n">
        <f aca="false">A398+1</f>
        <v>7</v>
      </c>
      <c r="B399" s="268"/>
      <c r="C399" s="67" t="str">
        <f aca="false">IF(OR(T$597&lt;1,Spells!B9=""),"",Spells!B9&amp;" ("&amp;Spells!C9&amp;")")</f>
        <v/>
      </c>
      <c r="D399" s="67"/>
      <c r="E399" s="67"/>
      <c r="F399" s="68"/>
      <c r="G399" s="32" t="n">
        <f aca="false">G398+1</f>
        <v>37</v>
      </c>
      <c r="H399" s="268"/>
      <c r="I399" s="67" t="str">
        <f aca="false">IF(OR(T$597&lt;1,Spells!B39=""),"",Spells!B39&amp;" ("&amp;Spells!C39&amp;")")</f>
        <v/>
      </c>
      <c r="J399" s="67"/>
      <c r="K399" s="67"/>
      <c r="L399" s="68"/>
      <c r="M399" s="32" t="n">
        <f aca="false">M398+1</f>
        <v>67</v>
      </c>
      <c r="N399" s="268"/>
      <c r="O399" s="67" t="str">
        <f aca="false">IF(OR(T$597&lt;1,Spells!B69=""),"",Spells!B69&amp;" ("&amp;Spells!C69&amp;")")</f>
        <v/>
      </c>
      <c r="P399" s="67"/>
      <c r="Q399" s="67"/>
      <c r="R399" s="68"/>
      <c r="S399" s="32" t="n">
        <f aca="false">S398+1</f>
        <v>97</v>
      </c>
      <c r="T399" s="268"/>
      <c r="U399" s="67" t="str">
        <f aca="false">IF(OR(T$597&lt;1,Spells!B99=""),"",Spells!B99&amp;" ("&amp;Spells!C99&amp;")")</f>
        <v/>
      </c>
      <c r="V399" s="67"/>
      <c r="W399" s="67"/>
      <c r="X399" s="68"/>
      <c r="Y399" s="56" t="n">
        <v>127</v>
      </c>
      <c r="Z399" s="56"/>
      <c r="AA399" s="268"/>
      <c r="AB399" s="67" t="str">
        <f aca="false">IF(OR(T$597&lt;1,Spells!B129=""),"",Spells!B129&amp;" ("&amp;Spells!C129&amp;")")</f>
        <v/>
      </c>
      <c r="AC399" s="67"/>
      <c r="AD399" s="67"/>
      <c r="AE399" s="68"/>
      <c r="CN399" s="32"/>
      <c r="CO399" s="32"/>
    </row>
    <row r="400" customFormat="false" ht="12.75" hidden="false" customHeight="false" outlineLevel="0" collapsed="false">
      <c r="A400" s="32" t="n">
        <f aca="false">A399+1</f>
        <v>8</v>
      </c>
      <c r="B400" s="268"/>
      <c r="C400" s="67" t="str">
        <f aca="false">IF(OR(T$597&lt;1,Spells!B10=""),"",Spells!B10&amp;" ("&amp;Spells!C10&amp;")")</f>
        <v/>
      </c>
      <c r="D400" s="67"/>
      <c r="E400" s="67"/>
      <c r="F400" s="68"/>
      <c r="G400" s="32" t="n">
        <f aca="false">G399+1</f>
        <v>38</v>
      </c>
      <c r="H400" s="268"/>
      <c r="I400" s="67" t="str">
        <f aca="false">IF(OR(T$597&lt;1,Spells!B40=""),"",Spells!B40&amp;" ("&amp;Spells!C40&amp;")")</f>
        <v/>
      </c>
      <c r="J400" s="67"/>
      <c r="K400" s="67"/>
      <c r="L400" s="68"/>
      <c r="M400" s="32" t="n">
        <f aca="false">M399+1</f>
        <v>68</v>
      </c>
      <c r="N400" s="268"/>
      <c r="O400" s="67" t="str">
        <f aca="false">IF(OR(T$597&lt;1,Spells!B70=""),"",Spells!B70&amp;" ("&amp;Spells!C70&amp;")")</f>
        <v/>
      </c>
      <c r="P400" s="67"/>
      <c r="Q400" s="67"/>
      <c r="R400" s="68"/>
      <c r="S400" s="32" t="n">
        <f aca="false">S399+1</f>
        <v>98</v>
      </c>
      <c r="T400" s="268"/>
      <c r="U400" s="67" t="str">
        <f aca="false">IF(OR(T$597&lt;1,Spells!B100=""),"",Spells!B100&amp;" ("&amp;Spells!C100&amp;")")</f>
        <v/>
      </c>
      <c r="V400" s="67"/>
      <c r="W400" s="67"/>
      <c r="X400" s="68"/>
      <c r="Y400" s="56" t="n">
        <v>128</v>
      </c>
      <c r="Z400" s="56"/>
      <c r="AA400" s="269"/>
      <c r="AB400" s="67" t="str">
        <f aca="false">IF(OR(T$597&lt;1,Spells!B130=""),"",Spells!B130&amp;" ("&amp;Spells!C130&amp;")")</f>
        <v/>
      </c>
      <c r="AC400" s="94"/>
      <c r="AD400" s="94"/>
      <c r="AE400" s="96"/>
      <c r="CN400" s="32"/>
      <c r="CO400" s="32"/>
    </row>
    <row r="401" customFormat="false" ht="12.75" hidden="false" customHeight="false" outlineLevel="0" collapsed="false">
      <c r="A401" s="32" t="n">
        <f aca="false">A400+1</f>
        <v>9</v>
      </c>
      <c r="B401" s="268"/>
      <c r="C401" s="67" t="str">
        <f aca="false">IF(OR(T$597&lt;1,Spells!B11=""),"",Spells!B11&amp;" ("&amp;Spells!C11&amp;")")</f>
        <v/>
      </c>
      <c r="D401" s="67"/>
      <c r="E401" s="67"/>
      <c r="F401" s="68"/>
      <c r="G401" s="32" t="n">
        <f aca="false">G400+1</f>
        <v>39</v>
      </c>
      <c r="H401" s="268"/>
      <c r="I401" s="67" t="str">
        <f aca="false">IF(OR(T$597&lt;1,Spells!B41=""),"",Spells!B41&amp;" ("&amp;Spells!C41&amp;")")</f>
        <v/>
      </c>
      <c r="J401" s="67"/>
      <c r="K401" s="67"/>
      <c r="L401" s="68"/>
      <c r="M401" s="32" t="n">
        <f aca="false">M400+1</f>
        <v>69</v>
      </c>
      <c r="N401" s="268"/>
      <c r="O401" s="67" t="str">
        <f aca="false">IF(OR(T$597&lt;1,Spells!B71=""),"",Spells!B71&amp;" ("&amp;Spells!C71&amp;")")</f>
        <v/>
      </c>
      <c r="P401" s="67"/>
      <c r="Q401" s="67"/>
      <c r="R401" s="68"/>
      <c r="S401" s="32" t="n">
        <f aca="false">S400+1</f>
        <v>99</v>
      </c>
      <c r="T401" s="268"/>
      <c r="U401" s="67" t="str">
        <f aca="false">IF(OR(T$597&lt;1,Spells!B101=""),"",Spells!B101&amp;" ("&amp;Spells!C101&amp;")")</f>
        <v/>
      </c>
      <c r="V401" s="67"/>
      <c r="W401" s="67"/>
      <c r="X401" s="68"/>
      <c r="CN401" s="32"/>
      <c r="CO401" s="32"/>
    </row>
    <row r="402" customFormat="false" ht="12.75" hidden="false" customHeight="false" outlineLevel="0" collapsed="false">
      <c r="A402" s="32" t="n">
        <f aca="false">A401+1</f>
        <v>10</v>
      </c>
      <c r="B402" s="268"/>
      <c r="C402" s="67" t="str">
        <f aca="false">IF(OR(T$597&lt;1,Spells!B12=""),"",Spells!B12&amp;" ("&amp;Spells!C12&amp;")")</f>
        <v/>
      </c>
      <c r="D402" s="67"/>
      <c r="E402" s="67"/>
      <c r="F402" s="68"/>
      <c r="G402" s="32" t="n">
        <f aca="false">G401+1</f>
        <v>40</v>
      </c>
      <c r="H402" s="268"/>
      <c r="I402" s="67" t="str">
        <f aca="false">IF(OR(T$597&lt;1,Spells!B42=""),"",Spells!B42&amp;" ("&amp;Spells!C42&amp;")")</f>
        <v/>
      </c>
      <c r="J402" s="67"/>
      <c r="K402" s="67"/>
      <c r="L402" s="68"/>
      <c r="M402" s="32" t="n">
        <f aca="false">M401+1</f>
        <v>70</v>
      </c>
      <c r="N402" s="268"/>
      <c r="O402" s="67" t="str">
        <f aca="false">IF(OR(T$597&lt;1,Spells!B72=""),"",Spells!B72&amp;" ("&amp;Spells!C72&amp;")")</f>
        <v/>
      </c>
      <c r="P402" s="67"/>
      <c r="Q402" s="67"/>
      <c r="R402" s="68"/>
      <c r="S402" s="32" t="n">
        <f aca="false">S401+1</f>
        <v>100</v>
      </c>
      <c r="T402" s="268"/>
      <c r="U402" s="67" t="str">
        <f aca="false">IF(OR(T$597&lt;1,Spells!B102=""),"",Spells!B102&amp;" ("&amp;Spells!C102&amp;")")</f>
        <v/>
      </c>
      <c r="V402" s="67"/>
      <c r="W402" s="67"/>
      <c r="X402" s="68"/>
      <c r="CN402" s="32"/>
      <c r="CO402" s="32"/>
    </row>
    <row r="403" customFormat="false" ht="12.75" hidden="false" customHeight="false" outlineLevel="0" collapsed="false">
      <c r="A403" s="32" t="n">
        <f aca="false">A402+1</f>
        <v>11</v>
      </c>
      <c r="B403" s="268"/>
      <c r="C403" s="67" t="str">
        <f aca="false">IF(OR(T$597&lt;1,Spells!B13=""),"",Spells!B13&amp;" ("&amp;Spells!C13&amp;")")</f>
        <v/>
      </c>
      <c r="D403" s="67"/>
      <c r="E403" s="67"/>
      <c r="F403" s="68"/>
      <c r="G403" s="32" t="n">
        <f aca="false">G402+1</f>
        <v>41</v>
      </c>
      <c r="H403" s="268"/>
      <c r="I403" s="67" t="str">
        <f aca="false">IF(OR(T$597&lt;1,Spells!B43=""),"",Spells!B43&amp;" ("&amp;Spells!C43&amp;")")</f>
        <v/>
      </c>
      <c r="J403" s="67"/>
      <c r="K403" s="67"/>
      <c r="L403" s="68"/>
      <c r="M403" s="32" t="n">
        <f aca="false">M402+1</f>
        <v>71</v>
      </c>
      <c r="N403" s="268"/>
      <c r="O403" s="67" t="str">
        <f aca="false">IF(OR(T$597&lt;1,Spells!B73=""),"",Spells!B73&amp;" ("&amp;Spells!C73&amp;")")</f>
        <v/>
      </c>
      <c r="P403" s="67"/>
      <c r="Q403" s="67"/>
      <c r="R403" s="68"/>
      <c r="S403" s="32" t="n">
        <f aca="false">S402+1</f>
        <v>101</v>
      </c>
      <c r="T403" s="268"/>
      <c r="U403" s="67" t="str">
        <f aca="false">IF(OR(T$597&lt;1,Spells!B103=""),"",Spells!B103&amp;" ("&amp;Spells!C103&amp;")")</f>
        <v/>
      </c>
      <c r="V403" s="67"/>
      <c r="W403" s="67"/>
      <c r="X403" s="68"/>
      <c r="CN403" s="32"/>
      <c r="CO403" s="32"/>
    </row>
    <row r="404" customFormat="false" ht="12.75" hidden="false" customHeight="false" outlineLevel="0" collapsed="false">
      <c r="A404" s="32" t="n">
        <f aca="false">A403+1</f>
        <v>12</v>
      </c>
      <c r="B404" s="268"/>
      <c r="C404" s="67" t="str">
        <f aca="false">IF(OR(T$597&lt;1,Spells!B14=""),"",Spells!B14&amp;" ("&amp;Spells!C14&amp;")")</f>
        <v/>
      </c>
      <c r="D404" s="67"/>
      <c r="E404" s="67"/>
      <c r="F404" s="68"/>
      <c r="G404" s="32" t="n">
        <f aca="false">G403+1</f>
        <v>42</v>
      </c>
      <c r="H404" s="268"/>
      <c r="I404" s="67" t="str">
        <f aca="false">IF(OR(T$597&lt;1,Spells!B44=""),"",Spells!B44&amp;" ("&amp;Spells!C44&amp;")")</f>
        <v/>
      </c>
      <c r="J404" s="67"/>
      <c r="K404" s="67"/>
      <c r="L404" s="68"/>
      <c r="M404" s="32" t="n">
        <f aca="false">M403+1</f>
        <v>72</v>
      </c>
      <c r="N404" s="268"/>
      <c r="O404" s="67" t="str">
        <f aca="false">IF(OR(T$597&lt;1,Spells!B74=""),"",Spells!B74&amp;" ("&amp;Spells!C74&amp;")")</f>
        <v/>
      </c>
      <c r="P404" s="67"/>
      <c r="Q404" s="67"/>
      <c r="R404" s="68"/>
      <c r="S404" s="32" t="n">
        <f aca="false">S403+1</f>
        <v>102</v>
      </c>
      <c r="T404" s="268"/>
      <c r="U404" s="67" t="str">
        <f aca="false">IF(OR(T$597&lt;1,Spells!B104=""),"",Spells!B104&amp;" ("&amp;Spells!C104&amp;")")</f>
        <v/>
      </c>
      <c r="V404" s="67"/>
      <c r="W404" s="67"/>
      <c r="X404" s="68"/>
      <c r="CN404" s="32"/>
      <c r="CO404" s="32"/>
    </row>
    <row r="405" customFormat="false" ht="12.75" hidden="false" customHeight="false" outlineLevel="0" collapsed="false">
      <c r="A405" s="32" t="n">
        <f aca="false">A404+1</f>
        <v>13</v>
      </c>
      <c r="B405" s="268"/>
      <c r="C405" s="67" t="str">
        <f aca="false">IF(OR(T$597&lt;1,Spells!B15=""),"",Spells!B15&amp;" ("&amp;Spells!C15&amp;")")</f>
        <v/>
      </c>
      <c r="D405" s="67"/>
      <c r="E405" s="67"/>
      <c r="F405" s="68"/>
      <c r="G405" s="32" t="n">
        <f aca="false">G404+1</f>
        <v>43</v>
      </c>
      <c r="H405" s="268"/>
      <c r="I405" s="67" t="str">
        <f aca="false">IF(OR(T$597&lt;1,Spells!B45=""),"",Spells!B45&amp;" ("&amp;Spells!C45&amp;")")</f>
        <v/>
      </c>
      <c r="J405" s="67"/>
      <c r="K405" s="67"/>
      <c r="L405" s="68"/>
      <c r="M405" s="32" t="n">
        <f aca="false">M404+1</f>
        <v>73</v>
      </c>
      <c r="N405" s="268"/>
      <c r="O405" s="67" t="str">
        <f aca="false">IF(OR(T$597&lt;1,Spells!B75=""),"",Spells!B75&amp;" ("&amp;Spells!C75&amp;")")</f>
        <v/>
      </c>
      <c r="P405" s="67"/>
      <c r="Q405" s="67"/>
      <c r="R405" s="68"/>
      <c r="S405" s="32" t="n">
        <f aca="false">S404+1</f>
        <v>103</v>
      </c>
      <c r="T405" s="268"/>
      <c r="U405" s="67" t="str">
        <f aca="false">IF(OR(T$597&lt;1,Spells!B105=""),"",Spells!B105&amp;" ("&amp;Spells!C105&amp;")")</f>
        <v/>
      </c>
      <c r="V405" s="67"/>
      <c r="W405" s="67"/>
      <c r="X405" s="68"/>
      <c r="CN405" s="32"/>
      <c r="CO405" s="32"/>
    </row>
    <row r="406" customFormat="false" ht="12.75" hidden="false" customHeight="false" outlineLevel="0" collapsed="false">
      <c r="A406" s="32" t="n">
        <f aca="false">A405+1</f>
        <v>14</v>
      </c>
      <c r="B406" s="268"/>
      <c r="C406" s="67" t="str">
        <f aca="false">IF(OR(T$597&lt;1,Spells!B16=""),"",Spells!B16&amp;" ("&amp;Spells!C16&amp;")")</f>
        <v/>
      </c>
      <c r="D406" s="67"/>
      <c r="E406" s="67"/>
      <c r="F406" s="68"/>
      <c r="G406" s="32" t="n">
        <f aca="false">G405+1</f>
        <v>44</v>
      </c>
      <c r="H406" s="268"/>
      <c r="I406" s="67" t="str">
        <f aca="false">IF(OR(T$597&lt;1,Spells!B46=""),"",Spells!B46&amp;" ("&amp;Spells!C46&amp;")")</f>
        <v/>
      </c>
      <c r="J406" s="67"/>
      <c r="K406" s="67"/>
      <c r="L406" s="68"/>
      <c r="M406" s="32" t="n">
        <f aca="false">M405+1</f>
        <v>74</v>
      </c>
      <c r="N406" s="268"/>
      <c r="O406" s="67" t="str">
        <f aca="false">IF(OR(T$597&lt;1,Spells!B76=""),"",Spells!B76&amp;" ("&amp;Spells!C76&amp;")")</f>
        <v/>
      </c>
      <c r="P406" s="67"/>
      <c r="Q406" s="67"/>
      <c r="R406" s="68"/>
      <c r="S406" s="32" t="n">
        <f aca="false">S405+1</f>
        <v>104</v>
      </c>
      <c r="T406" s="268"/>
      <c r="U406" s="67" t="str">
        <f aca="false">IF(OR(T$597&lt;1,Spells!B106=""),"",Spells!B106&amp;" ("&amp;Spells!C106&amp;")")</f>
        <v/>
      </c>
      <c r="V406" s="67"/>
      <c r="W406" s="67"/>
      <c r="X406" s="68"/>
      <c r="CN406" s="32"/>
      <c r="CO406" s="32"/>
    </row>
    <row r="407" customFormat="false" ht="12.75" hidden="false" customHeight="false" outlineLevel="0" collapsed="false">
      <c r="A407" s="32" t="n">
        <f aca="false">A406+1</f>
        <v>15</v>
      </c>
      <c r="B407" s="268"/>
      <c r="C407" s="67" t="str">
        <f aca="false">IF(OR(T$597&lt;1,Spells!B17=""),"",Spells!B17&amp;" ("&amp;Spells!C17&amp;")")</f>
        <v/>
      </c>
      <c r="D407" s="67"/>
      <c r="E407" s="67"/>
      <c r="F407" s="68"/>
      <c r="G407" s="32" t="n">
        <f aca="false">G406+1</f>
        <v>45</v>
      </c>
      <c r="H407" s="268"/>
      <c r="I407" s="67" t="str">
        <f aca="false">IF(OR(T$597&lt;1,Spells!B47=""),"",Spells!B47&amp;" ("&amp;Spells!C47&amp;")")</f>
        <v/>
      </c>
      <c r="J407" s="67"/>
      <c r="K407" s="67"/>
      <c r="L407" s="68"/>
      <c r="M407" s="32" t="n">
        <f aca="false">M406+1</f>
        <v>75</v>
      </c>
      <c r="N407" s="268"/>
      <c r="O407" s="67" t="str">
        <f aca="false">IF(OR(T$597&lt;1,Spells!B77=""),"",Spells!B77&amp;" ("&amp;Spells!C77&amp;")")</f>
        <v/>
      </c>
      <c r="P407" s="67"/>
      <c r="Q407" s="67"/>
      <c r="R407" s="68"/>
      <c r="S407" s="32" t="n">
        <f aca="false">S406+1</f>
        <v>105</v>
      </c>
      <c r="T407" s="268"/>
      <c r="U407" s="67" t="str">
        <f aca="false">IF(OR(T$597&lt;1,Spells!B107=""),"",Spells!B107&amp;" ("&amp;Spells!C107&amp;")")</f>
        <v/>
      </c>
      <c r="V407" s="67"/>
      <c r="W407" s="67"/>
      <c r="X407" s="68"/>
      <c r="CN407" s="32"/>
      <c r="CO407" s="32"/>
    </row>
    <row r="408" customFormat="false" ht="12.75" hidden="false" customHeight="false" outlineLevel="0" collapsed="false">
      <c r="A408" s="32" t="n">
        <f aca="false">A407+1</f>
        <v>16</v>
      </c>
      <c r="B408" s="268"/>
      <c r="C408" s="67" t="str">
        <f aca="false">IF(OR(T$597&lt;1,Spells!B18=""),"",Spells!B18&amp;" ("&amp;Spells!C18&amp;")")</f>
        <v/>
      </c>
      <c r="D408" s="67"/>
      <c r="E408" s="67"/>
      <c r="F408" s="68"/>
      <c r="G408" s="32" t="n">
        <f aca="false">G407+1</f>
        <v>46</v>
      </c>
      <c r="H408" s="268"/>
      <c r="I408" s="67" t="str">
        <f aca="false">IF(OR(T$597&lt;1,Spells!B48=""),"",Spells!B48&amp;" ("&amp;Spells!C48&amp;")")</f>
        <v/>
      </c>
      <c r="J408" s="67"/>
      <c r="K408" s="67"/>
      <c r="L408" s="68"/>
      <c r="M408" s="32" t="n">
        <f aca="false">M407+1</f>
        <v>76</v>
      </c>
      <c r="N408" s="268"/>
      <c r="O408" s="67" t="str">
        <f aca="false">IF(OR(T$597&lt;1,Spells!B78=""),"",Spells!B78&amp;" ("&amp;Spells!C78&amp;")")</f>
        <v/>
      </c>
      <c r="P408" s="67"/>
      <c r="Q408" s="67"/>
      <c r="R408" s="68"/>
      <c r="S408" s="32" t="n">
        <f aca="false">S407+1</f>
        <v>106</v>
      </c>
      <c r="T408" s="268"/>
      <c r="U408" s="67" t="str">
        <f aca="false">IF(OR(T$597&lt;1,Spells!B108=""),"",Spells!B108&amp;" ("&amp;Spells!C108&amp;")")</f>
        <v/>
      </c>
      <c r="V408" s="67"/>
      <c r="W408" s="67"/>
      <c r="X408" s="68"/>
      <c r="CN408" s="32"/>
      <c r="CO408" s="32"/>
    </row>
    <row r="409" customFormat="false" ht="12.75" hidden="false" customHeight="false" outlineLevel="0" collapsed="false">
      <c r="A409" s="32" t="n">
        <f aca="false">A408+1</f>
        <v>17</v>
      </c>
      <c r="B409" s="268"/>
      <c r="C409" s="67" t="str">
        <f aca="false">IF(OR(T$597&lt;1,Spells!B19=""),"",Spells!B19&amp;" ("&amp;Spells!C19&amp;")")</f>
        <v/>
      </c>
      <c r="D409" s="67"/>
      <c r="E409" s="67"/>
      <c r="F409" s="68"/>
      <c r="G409" s="32" t="n">
        <f aca="false">G408+1</f>
        <v>47</v>
      </c>
      <c r="H409" s="268"/>
      <c r="I409" s="67" t="str">
        <f aca="false">IF(OR(T$597&lt;1,Spells!B49=""),"",Spells!B49&amp;" ("&amp;Spells!C49&amp;")")</f>
        <v/>
      </c>
      <c r="J409" s="67"/>
      <c r="K409" s="67"/>
      <c r="L409" s="68"/>
      <c r="M409" s="32" t="n">
        <f aca="false">M408+1</f>
        <v>77</v>
      </c>
      <c r="N409" s="268"/>
      <c r="O409" s="67" t="str">
        <f aca="false">IF(OR(T$597&lt;1,Spells!B79=""),"",Spells!B79&amp;" ("&amp;Spells!C79&amp;")")</f>
        <v/>
      </c>
      <c r="P409" s="67"/>
      <c r="Q409" s="67"/>
      <c r="R409" s="68"/>
      <c r="S409" s="32" t="n">
        <f aca="false">S408+1</f>
        <v>107</v>
      </c>
      <c r="T409" s="268"/>
      <c r="U409" s="67" t="str">
        <f aca="false">IF(OR(T$597&lt;1,Spells!B109=""),"",Spells!B109&amp;" ("&amp;Spells!C109&amp;")")</f>
        <v/>
      </c>
      <c r="V409" s="67"/>
      <c r="W409" s="67"/>
      <c r="X409" s="68"/>
      <c r="CN409" s="32"/>
      <c r="CO409" s="32"/>
    </row>
    <row r="410" customFormat="false" ht="12.75" hidden="false" customHeight="false" outlineLevel="0" collapsed="false">
      <c r="A410" s="32" t="n">
        <f aca="false">A409+1</f>
        <v>18</v>
      </c>
      <c r="B410" s="268"/>
      <c r="C410" s="67" t="str">
        <f aca="false">IF(OR(T$597&lt;1,Spells!B20=""),"",Spells!B20&amp;" ("&amp;Spells!C20&amp;")")</f>
        <v/>
      </c>
      <c r="D410" s="67"/>
      <c r="E410" s="67"/>
      <c r="F410" s="68"/>
      <c r="G410" s="32" t="n">
        <f aca="false">G409+1</f>
        <v>48</v>
      </c>
      <c r="H410" s="268"/>
      <c r="I410" s="67" t="str">
        <f aca="false">IF(OR(T$597&lt;1,Spells!B50=""),"",Spells!B50&amp;" ("&amp;Spells!C50&amp;")")</f>
        <v/>
      </c>
      <c r="J410" s="67"/>
      <c r="K410" s="67"/>
      <c r="L410" s="68"/>
      <c r="M410" s="32" t="n">
        <f aca="false">M409+1</f>
        <v>78</v>
      </c>
      <c r="N410" s="268"/>
      <c r="O410" s="67" t="str">
        <f aca="false">IF(OR(T$597&lt;1,Spells!B80=""),"",Spells!B80&amp;" ("&amp;Spells!C80&amp;")")</f>
        <v/>
      </c>
      <c r="P410" s="67"/>
      <c r="Q410" s="67"/>
      <c r="R410" s="68"/>
      <c r="S410" s="32" t="n">
        <f aca="false">S409+1</f>
        <v>108</v>
      </c>
      <c r="T410" s="268"/>
      <c r="U410" s="67" t="str">
        <f aca="false">IF(OR(T$597&lt;1,Spells!B110=""),"",Spells!B110&amp;" ("&amp;Spells!C110&amp;")")</f>
        <v/>
      </c>
      <c r="V410" s="67"/>
      <c r="W410" s="67"/>
      <c r="X410" s="68"/>
      <c r="CN410" s="32"/>
      <c r="CO410" s="32"/>
    </row>
    <row r="411" customFormat="false" ht="12.75" hidden="false" customHeight="false" outlineLevel="0" collapsed="false">
      <c r="A411" s="32" t="n">
        <f aca="false">A410+1</f>
        <v>19</v>
      </c>
      <c r="B411" s="268"/>
      <c r="C411" s="67" t="str">
        <f aca="false">IF(OR(T$597&lt;1,Spells!B21=""),"",Spells!B21&amp;" ("&amp;Spells!C21&amp;")")</f>
        <v/>
      </c>
      <c r="D411" s="67"/>
      <c r="E411" s="67"/>
      <c r="F411" s="68"/>
      <c r="G411" s="32" t="n">
        <f aca="false">G410+1</f>
        <v>49</v>
      </c>
      <c r="H411" s="268"/>
      <c r="I411" s="67" t="str">
        <f aca="false">IF(OR(T$597&lt;1,Spells!B51=""),"",Spells!B51&amp;" ("&amp;Spells!C51&amp;")")</f>
        <v/>
      </c>
      <c r="J411" s="67"/>
      <c r="K411" s="67"/>
      <c r="L411" s="68"/>
      <c r="M411" s="32" t="n">
        <f aca="false">M410+1</f>
        <v>79</v>
      </c>
      <c r="N411" s="268"/>
      <c r="O411" s="67" t="str">
        <f aca="false">IF(OR(T$597&lt;1,Spells!B81=""),"",Spells!B81&amp;" ("&amp;Spells!C81&amp;")")</f>
        <v/>
      </c>
      <c r="P411" s="67"/>
      <c r="Q411" s="67"/>
      <c r="R411" s="68"/>
      <c r="S411" s="32" t="n">
        <f aca="false">S410+1</f>
        <v>109</v>
      </c>
      <c r="T411" s="268"/>
      <c r="U411" s="67" t="str">
        <f aca="false">IF(OR(T$597&lt;1,Spells!B111=""),"",Spells!B111&amp;" ("&amp;Spells!C111&amp;")")</f>
        <v/>
      </c>
      <c r="V411" s="67"/>
      <c r="W411" s="67"/>
      <c r="X411" s="68"/>
      <c r="CN411" s="32"/>
      <c r="CO411" s="32"/>
    </row>
    <row r="412" customFormat="false" ht="12.75" hidden="false" customHeight="false" outlineLevel="0" collapsed="false">
      <c r="A412" s="32" t="n">
        <f aca="false">A411+1</f>
        <v>20</v>
      </c>
      <c r="B412" s="268"/>
      <c r="C412" s="67" t="str">
        <f aca="false">IF(OR(T$597&lt;1,Spells!B22=""),"",Spells!B22&amp;" ("&amp;Spells!C22&amp;")")</f>
        <v/>
      </c>
      <c r="D412" s="67"/>
      <c r="E412" s="67"/>
      <c r="F412" s="68"/>
      <c r="G412" s="32" t="n">
        <f aca="false">G411+1</f>
        <v>50</v>
      </c>
      <c r="H412" s="268"/>
      <c r="I412" s="67" t="str">
        <f aca="false">IF(OR(T$597&lt;1,Spells!B52=""),"",Spells!B52&amp;" ("&amp;Spells!C52&amp;")")</f>
        <v/>
      </c>
      <c r="J412" s="67"/>
      <c r="K412" s="67"/>
      <c r="L412" s="68"/>
      <c r="M412" s="32" t="n">
        <f aca="false">M411+1</f>
        <v>80</v>
      </c>
      <c r="N412" s="268"/>
      <c r="O412" s="67" t="str">
        <f aca="false">IF(OR(T$597&lt;1,Spells!B82=""),"",Spells!B82&amp;" ("&amp;Spells!C82&amp;")")</f>
        <v/>
      </c>
      <c r="P412" s="67"/>
      <c r="Q412" s="67"/>
      <c r="R412" s="68"/>
      <c r="S412" s="32" t="n">
        <f aca="false">S411+1</f>
        <v>110</v>
      </c>
      <c r="T412" s="268"/>
      <c r="U412" s="67" t="str">
        <f aca="false">IF(OR(T$597&lt;1,Spells!B112=""),"",Spells!B112&amp;" ("&amp;Spells!C112&amp;")")</f>
        <v/>
      </c>
      <c r="V412" s="67"/>
      <c r="W412" s="67"/>
      <c r="X412" s="68"/>
      <c r="CN412" s="32"/>
      <c r="CO412" s="32"/>
    </row>
    <row r="413" customFormat="false" ht="12.75" hidden="false" customHeight="false" outlineLevel="0" collapsed="false">
      <c r="A413" s="32" t="n">
        <f aca="false">A412+1</f>
        <v>21</v>
      </c>
      <c r="B413" s="268"/>
      <c r="C413" s="67" t="str">
        <f aca="false">IF(OR(T$597&lt;1,Spells!B23=""),"",Spells!B23&amp;" ("&amp;Spells!C23&amp;")")</f>
        <v/>
      </c>
      <c r="D413" s="67"/>
      <c r="E413" s="67"/>
      <c r="F413" s="68"/>
      <c r="G413" s="32" t="n">
        <f aca="false">G412+1</f>
        <v>51</v>
      </c>
      <c r="H413" s="268"/>
      <c r="I413" s="67" t="str">
        <f aca="false">IF(OR(T$597&lt;1,Spells!B53=""),"",Spells!B53&amp;" ("&amp;Spells!C53&amp;")")</f>
        <v/>
      </c>
      <c r="J413" s="67"/>
      <c r="K413" s="67"/>
      <c r="L413" s="68"/>
      <c r="M413" s="32" t="n">
        <f aca="false">M412+1</f>
        <v>81</v>
      </c>
      <c r="N413" s="268"/>
      <c r="O413" s="67" t="str">
        <f aca="false">IF(OR(T$597&lt;1,Spells!B83=""),"",Spells!B83&amp;" ("&amp;Spells!C83&amp;")")</f>
        <v/>
      </c>
      <c r="P413" s="67"/>
      <c r="Q413" s="67"/>
      <c r="R413" s="68"/>
      <c r="S413" s="32" t="n">
        <f aca="false">S412+1</f>
        <v>111</v>
      </c>
      <c r="T413" s="268"/>
      <c r="U413" s="67" t="str">
        <f aca="false">IF(OR(T$597&lt;1,Spells!B113=""),"",Spells!B113&amp;" ("&amp;Spells!C113&amp;")")</f>
        <v/>
      </c>
      <c r="V413" s="67"/>
      <c r="W413" s="67"/>
      <c r="X413" s="68"/>
      <c r="CN413" s="32"/>
      <c r="CO413" s="32"/>
    </row>
    <row r="414" customFormat="false" ht="12.75" hidden="false" customHeight="false" outlineLevel="0" collapsed="false">
      <c r="A414" s="32" t="n">
        <f aca="false">A413+1</f>
        <v>22</v>
      </c>
      <c r="B414" s="268"/>
      <c r="C414" s="67" t="str">
        <f aca="false">IF(OR(T$597&lt;1,Spells!B24=""),"",Spells!B24&amp;" ("&amp;Spells!C24&amp;")")</f>
        <v/>
      </c>
      <c r="D414" s="67"/>
      <c r="E414" s="67"/>
      <c r="F414" s="68"/>
      <c r="G414" s="32" t="n">
        <f aca="false">G413+1</f>
        <v>52</v>
      </c>
      <c r="H414" s="268"/>
      <c r="I414" s="67" t="str">
        <f aca="false">IF(OR(T$597&lt;1,Spells!B54=""),"",Spells!B54&amp;" ("&amp;Spells!C54&amp;")")</f>
        <v/>
      </c>
      <c r="J414" s="67"/>
      <c r="K414" s="67"/>
      <c r="L414" s="68"/>
      <c r="M414" s="32" t="n">
        <f aca="false">M413+1</f>
        <v>82</v>
      </c>
      <c r="N414" s="268"/>
      <c r="O414" s="67" t="str">
        <f aca="false">IF(OR(T$597&lt;1,Spells!B84=""),"",Spells!B84&amp;" ("&amp;Spells!C84&amp;")")</f>
        <v/>
      </c>
      <c r="P414" s="67"/>
      <c r="Q414" s="67"/>
      <c r="R414" s="68"/>
      <c r="S414" s="32" t="n">
        <f aca="false">S413+1</f>
        <v>112</v>
      </c>
      <c r="T414" s="268"/>
      <c r="U414" s="67" t="str">
        <f aca="false">IF(OR(T$597&lt;1,Spells!B114=""),"",Spells!B114&amp;" ("&amp;Spells!C114&amp;")")</f>
        <v/>
      </c>
      <c r="V414" s="67"/>
      <c r="W414" s="67"/>
      <c r="X414" s="68"/>
      <c r="CN414" s="32"/>
      <c r="CO414" s="32"/>
    </row>
    <row r="415" customFormat="false" ht="12.75" hidden="false" customHeight="false" outlineLevel="0" collapsed="false">
      <c r="A415" s="32" t="n">
        <f aca="false">A414+1</f>
        <v>23</v>
      </c>
      <c r="B415" s="268"/>
      <c r="C415" s="67" t="str">
        <f aca="false">IF(OR(T$597&lt;1,Spells!B25=""),"",Spells!B25&amp;" ("&amp;Spells!C25&amp;")")</f>
        <v/>
      </c>
      <c r="D415" s="67"/>
      <c r="E415" s="67"/>
      <c r="F415" s="68"/>
      <c r="G415" s="32" t="n">
        <f aca="false">G414+1</f>
        <v>53</v>
      </c>
      <c r="H415" s="268"/>
      <c r="I415" s="67" t="str">
        <f aca="false">IF(OR(T$597&lt;1,Spells!B55=""),"",Spells!B55&amp;" ("&amp;Spells!C55&amp;")")</f>
        <v/>
      </c>
      <c r="J415" s="67"/>
      <c r="K415" s="67"/>
      <c r="L415" s="68"/>
      <c r="M415" s="32" t="n">
        <f aca="false">M414+1</f>
        <v>83</v>
      </c>
      <c r="N415" s="268"/>
      <c r="O415" s="67" t="str">
        <f aca="false">IF(OR(T$597&lt;1,Spells!B85=""),"",Spells!B85&amp;" ("&amp;Spells!C85&amp;")")</f>
        <v/>
      </c>
      <c r="P415" s="67"/>
      <c r="Q415" s="67"/>
      <c r="R415" s="68"/>
      <c r="S415" s="32" t="n">
        <f aca="false">S414+1</f>
        <v>113</v>
      </c>
      <c r="T415" s="268"/>
      <c r="U415" s="67" t="str">
        <f aca="false">IF(OR(T$597&lt;1,Spells!B115=""),"",Spells!B115&amp;" ("&amp;Spells!C115&amp;")")</f>
        <v/>
      </c>
      <c r="V415" s="67"/>
      <c r="W415" s="67"/>
      <c r="X415" s="68"/>
      <c r="CN415" s="32"/>
      <c r="CO415" s="32"/>
    </row>
    <row r="416" customFormat="false" ht="12.75" hidden="false" customHeight="false" outlineLevel="0" collapsed="false">
      <c r="A416" s="32" t="n">
        <f aca="false">A415+1</f>
        <v>24</v>
      </c>
      <c r="B416" s="268"/>
      <c r="C416" s="67" t="str">
        <f aca="false">IF(OR(T$597&lt;1,Spells!B26=""),"",Spells!B26&amp;" ("&amp;Spells!C26&amp;")")</f>
        <v/>
      </c>
      <c r="D416" s="67"/>
      <c r="E416" s="67"/>
      <c r="F416" s="68"/>
      <c r="G416" s="32" t="n">
        <f aca="false">G415+1</f>
        <v>54</v>
      </c>
      <c r="H416" s="268"/>
      <c r="I416" s="67" t="str">
        <f aca="false">IF(OR(T$597&lt;1,Spells!B56=""),"",Spells!B56&amp;" ("&amp;Spells!C56&amp;")")</f>
        <v/>
      </c>
      <c r="J416" s="67"/>
      <c r="K416" s="67"/>
      <c r="L416" s="68"/>
      <c r="M416" s="32" t="n">
        <f aca="false">M415+1</f>
        <v>84</v>
      </c>
      <c r="N416" s="268"/>
      <c r="O416" s="67" t="str">
        <f aca="false">IF(OR(T$597&lt;1,Spells!B86=""),"",Spells!B86&amp;" ("&amp;Spells!C86&amp;")")</f>
        <v/>
      </c>
      <c r="P416" s="67"/>
      <c r="Q416" s="67"/>
      <c r="R416" s="68"/>
      <c r="S416" s="32" t="n">
        <f aca="false">S415+1</f>
        <v>114</v>
      </c>
      <c r="T416" s="268"/>
      <c r="U416" s="67" t="str">
        <f aca="false">IF(OR(T$597&lt;1,Spells!B116=""),"",Spells!B116&amp;" ("&amp;Spells!C116&amp;")")</f>
        <v/>
      </c>
      <c r="V416" s="67"/>
      <c r="W416" s="67"/>
      <c r="X416" s="68"/>
      <c r="CN416" s="32"/>
      <c r="CO416" s="32"/>
    </row>
    <row r="417" customFormat="false" ht="12.75" hidden="false" customHeight="false" outlineLevel="0" collapsed="false">
      <c r="A417" s="32" t="n">
        <f aca="false">A416+1</f>
        <v>25</v>
      </c>
      <c r="B417" s="268"/>
      <c r="C417" s="67" t="str">
        <f aca="false">IF(OR(T$597&lt;1,Spells!B27=""),"",Spells!B27&amp;" ("&amp;Spells!C27&amp;")")</f>
        <v/>
      </c>
      <c r="D417" s="67"/>
      <c r="E417" s="67"/>
      <c r="F417" s="68"/>
      <c r="G417" s="32" t="n">
        <f aca="false">G416+1</f>
        <v>55</v>
      </c>
      <c r="H417" s="268"/>
      <c r="I417" s="67" t="str">
        <f aca="false">IF(OR(T$597&lt;1,Spells!B57=""),"",Spells!B57&amp;" ("&amp;Spells!C57&amp;")")</f>
        <v/>
      </c>
      <c r="J417" s="67"/>
      <c r="K417" s="67"/>
      <c r="L417" s="68"/>
      <c r="M417" s="32" t="n">
        <f aca="false">M416+1</f>
        <v>85</v>
      </c>
      <c r="N417" s="268"/>
      <c r="O417" s="67" t="str">
        <f aca="false">IF(OR(T$597&lt;1,Spells!B87=""),"",Spells!B87&amp;" ("&amp;Spells!C87&amp;")")</f>
        <v/>
      </c>
      <c r="P417" s="67"/>
      <c r="Q417" s="67"/>
      <c r="R417" s="68"/>
      <c r="S417" s="32" t="n">
        <f aca="false">S416+1</f>
        <v>115</v>
      </c>
      <c r="T417" s="268"/>
      <c r="U417" s="67" t="str">
        <f aca="false">IF(OR(T$597&lt;1,Spells!B117=""),"",Spells!B117&amp;" ("&amp;Spells!C117&amp;")")</f>
        <v/>
      </c>
      <c r="V417" s="67"/>
      <c r="W417" s="67"/>
      <c r="X417" s="68"/>
      <c r="CN417" s="32"/>
      <c r="CO417" s="32"/>
    </row>
    <row r="418" customFormat="false" ht="12.75" hidden="false" customHeight="false" outlineLevel="0" collapsed="false">
      <c r="A418" s="32" t="n">
        <f aca="false">A417+1</f>
        <v>26</v>
      </c>
      <c r="B418" s="268"/>
      <c r="C418" s="67" t="str">
        <f aca="false">IF(OR(T$597&lt;1,Spells!B28=""),"",Spells!B28&amp;" ("&amp;Spells!C28&amp;")")</f>
        <v/>
      </c>
      <c r="D418" s="67"/>
      <c r="E418" s="67"/>
      <c r="F418" s="68"/>
      <c r="G418" s="32" t="n">
        <f aca="false">G417+1</f>
        <v>56</v>
      </c>
      <c r="H418" s="268"/>
      <c r="I418" s="67" t="str">
        <f aca="false">IF(OR(T$597&lt;1,Spells!B58=""),"",Spells!B58&amp;" ("&amp;Spells!C58&amp;")")</f>
        <v/>
      </c>
      <c r="J418" s="67"/>
      <c r="K418" s="67"/>
      <c r="L418" s="68"/>
      <c r="M418" s="32" t="n">
        <f aca="false">M417+1</f>
        <v>86</v>
      </c>
      <c r="N418" s="268"/>
      <c r="O418" s="67" t="str">
        <f aca="false">IF(OR(T$597&lt;1,Spells!B88=""),"",Spells!B88&amp;" ("&amp;Spells!C88&amp;")")</f>
        <v/>
      </c>
      <c r="P418" s="67"/>
      <c r="Q418" s="67"/>
      <c r="R418" s="68"/>
      <c r="S418" s="32" t="n">
        <f aca="false">S417+1</f>
        <v>116</v>
      </c>
      <c r="T418" s="268"/>
      <c r="U418" s="67" t="str">
        <f aca="false">IF(OR(T$597&lt;1,Spells!B118=""),"",Spells!B118&amp;" ("&amp;Spells!C118&amp;")")</f>
        <v/>
      </c>
      <c r="V418" s="67"/>
      <c r="W418" s="67"/>
      <c r="X418" s="68"/>
      <c r="CN418" s="32"/>
      <c r="CO418" s="32"/>
    </row>
    <row r="419" customFormat="false" ht="12.75" hidden="false" customHeight="false" outlineLevel="0" collapsed="false">
      <c r="A419" s="32" t="n">
        <f aca="false">A418+1</f>
        <v>27</v>
      </c>
      <c r="B419" s="268"/>
      <c r="C419" s="67" t="str">
        <f aca="false">IF(OR(T$597&lt;1,Spells!B29=""),"",Spells!B29&amp;" ("&amp;Spells!C29&amp;")")</f>
        <v/>
      </c>
      <c r="D419" s="67"/>
      <c r="E419" s="67"/>
      <c r="F419" s="68"/>
      <c r="G419" s="32" t="n">
        <f aca="false">G418+1</f>
        <v>57</v>
      </c>
      <c r="H419" s="268"/>
      <c r="I419" s="67" t="str">
        <f aca="false">IF(OR(T$597&lt;1,Spells!B59=""),"",Spells!B59&amp;" ("&amp;Spells!C59&amp;")")</f>
        <v/>
      </c>
      <c r="J419" s="67"/>
      <c r="K419" s="67"/>
      <c r="L419" s="68"/>
      <c r="M419" s="32" t="n">
        <f aca="false">M418+1</f>
        <v>87</v>
      </c>
      <c r="N419" s="268"/>
      <c r="O419" s="67" t="str">
        <f aca="false">IF(OR(T$597&lt;1,Spells!B89=""),"",Spells!B89&amp;" ("&amp;Spells!C89&amp;")")</f>
        <v/>
      </c>
      <c r="P419" s="67"/>
      <c r="Q419" s="67"/>
      <c r="R419" s="68"/>
      <c r="S419" s="32" t="n">
        <f aca="false">S418+1</f>
        <v>117</v>
      </c>
      <c r="T419" s="268"/>
      <c r="U419" s="67" t="str">
        <f aca="false">IF(OR(T$597&lt;1,Spells!B119=""),"",Spells!B119&amp;" ("&amp;Spells!C119&amp;")")</f>
        <v/>
      </c>
      <c r="V419" s="67"/>
      <c r="W419" s="67"/>
      <c r="X419" s="68"/>
      <c r="CN419" s="32"/>
      <c r="CO419" s="32"/>
    </row>
    <row r="420" customFormat="false" ht="12.75" hidden="false" customHeight="false" outlineLevel="0" collapsed="false">
      <c r="A420" s="32" t="n">
        <f aca="false">A419+1</f>
        <v>28</v>
      </c>
      <c r="B420" s="268"/>
      <c r="C420" s="67" t="str">
        <f aca="false">IF(OR(T$597&lt;1,Spells!B30=""),"",Spells!B30&amp;" ("&amp;Spells!C30&amp;")")</f>
        <v/>
      </c>
      <c r="D420" s="67"/>
      <c r="E420" s="67"/>
      <c r="F420" s="68"/>
      <c r="G420" s="32" t="n">
        <f aca="false">G419+1</f>
        <v>58</v>
      </c>
      <c r="H420" s="268"/>
      <c r="I420" s="67" t="str">
        <f aca="false">IF(OR(T$597&lt;1,Spells!B60=""),"",Spells!B60&amp;" ("&amp;Spells!C60&amp;")")</f>
        <v/>
      </c>
      <c r="J420" s="67"/>
      <c r="K420" s="67"/>
      <c r="L420" s="68"/>
      <c r="M420" s="32" t="n">
        <f aca="false">M419+1</f>
        <v>88</v>
      </c>
      <c r="N420" s="268"/>
      <c r="O420" s="67" t="str">
        <f aca="false">IF(OR(T$597&lt;1,Spells!B90=""),"",Spells!B90&amp;" ("&amp;Spells!C90&amp;")")</f>
        <v/>
      </c>
      <c r="P420" s="67"/>
      <c r="Q420" s="67"/>
      <c r="R420" s="68"/>
      <c r="S420" s="32" t="n">
        <f aca="false">S419+1</f>
        <v>118</v>
      </c>
      <c r="T420" s="268"/>
      <c r="U420" s="67" t="str">
        <f aca="false">IF(OR(T$597&lt;1,Spells!B120=""),"",Spells!B120&amp;" ("&amp;Spells!C120&amp;")")</f>
        <v/>
      </c>
      <c r="V420" s="67"/>
      <c r="W420" s="67"/>
      <c r="X420" s="68"/>
      <c r="CN420" s="32"/>
      <c r="CO420" s="32"/>
    </row>
    <row r="421" customFormat="false" ht="12.75" hidden="false" customHeight="false" outlineLevel="0" collapsed="false">
      <c r="A421" s="32" t="n">
        <f aca="false">A420+1</f>
        <v>29</v>
      </c>
      <c r="B421" s="268"/>
      <c r="C421" s="67" t="str">
        <f aca="false">IF(OR(T$597&lt;1,Spells!B31=""),"",Spells!B31&amp;" ("&amp;Spells!C31&amp;")")</f>
        <v/>
      </c>
      <c r="D421" s="67"/>
      <c r="E421" s="67"/>
      <c r="F421" s="68"/>
      <c r="G421" s="32" t="n">
        <f aca="false">G420+1</f>
        <v>59</v>
      </c>
      <c r="H421" s="268"/>
      <c r="I421" s="67" t="str">
        <f aca="false">IF(OR(T$597&lt;1,Spells!B61=""),"",Spells!B61&amp;" ("&amp;Spells!C61&amp;")")</f>
        <v/>
      </c>
      <c r="J421" s="67"/>
      <c r="K421" s="67"/>
      <c r="L421" s="68"/>
      <c r="M421" s="32" t="n">
        <f aca="false">M420+1</f>
        <v>89</v>
      </c>
      <c r="N421" s="268"/>
      <c r="O421" s="67" t="str">
        <f aca="false">IF(OR(T$597&lt;1,Spells!B91=""),"",Spells!B91&amp;" ("&amp;Spells!C91&amp;")")</f>
        <v/>
      </c>
      <c r="P421" s="67"/>
      <c r="Q421" s="67"/>
      <c r="R421" s="68"/>
      <c r="S421" s="32" t="n">
        <f aca="false">S420+1</f>
        <v>119</v>
      </c>
      <c r="T421" s="268"/>
      <c r="U421" s="67" t="str">
        <f aca="false">IF(OR(T$597&lt;1,Spells!B121=""),"",Spells!B121&amp;" ("&amp;Spells!C121&amp;")")</f>
        <v/>
      </c>
      <c r="V421" s="67"/>
      <c r="W421" s="67"/>
      <c r="X421" s="68"/>
      <c r="CN421" s="32"/>
      <c r="CO421" s="32"/>
    </row>
    <row r="422" customFormat="false" ht="12.75" hidden="false" customHeight="false" outlineLevel="0" collapsed="false">
      <c r="A422" s="32" t="n">
        <f aca="false">A421+1</f>
        <v>30</v>
      </c>
      <c r="B422" s="269"/>
      <c r="C422" s="67" t="str">
        <f aca="false">IF(OR(T$597&lt;1,Spells!B32=""),"",Spells!B32&amp;" ("&amp;Spells!C32&amp;")")</f>
        <v/>
      </c>
      <c r="D422" s="94"/>
      <c r="E422" s="94"/>
      <c r="F422" s="96"/>
      <c r="G422" s="32" t="n">
        <f aca="false">G421+1</f>
        <v>60</v>
      </c>
      <c r="H422" s="269"/>
      <c r="I422" s="67" t="str">
        <f aca="false">IF(OR(T$597&lt;1,Spells!B62=""),"",Spells!B62&amp;" ("&amp;Spells!C62&amp;")")</f>
        <v/>
      </c>
      <c r="J422" s="94"/>
      <c r="K422" s="94"/>
      <c r="L422" s="96"/>
      <c r="M422" s="32" t="n">
        <f aca="false">M421+1</f>
        <v>90</v>
      </c>
      <c r="N422" s="269"/>
      <c r="O422" s="67" t="str">
        <f aca="false">IF(OR(T$597&lt;1,Spells!B92=""),"",Spells!B92&amp;" ("&amp;Spells!C92&amp;")")</f>
        <v/>
      </c>
      <c r="P422" s="94"/>
      <c r="Q422" s="94"/>
      <c r="R422" s="96"/>
      <c r="S422" s="32" t="n">
        <f aca="false">S421+1</f>
        <v>120</v>
      </c>
      <c r="T422" s="269"/>
      <c r="U422" s="67" t="str">
        <f aca="false">IF(OR(T$597&lt;1,Spells!B122=""),"",Spells!B122&amp;" ("&amp;Spells!C122&amp;")")</f>
        <v/>
      </c>
      <c r="V422" s="94"/>
      <c r="W422" s="94"/>
      <c r="X422" s="96"/>
      <c r="CN422" s="32"/>
      <c r="CO422" s="32"/>
    </row>
    <row r="423" customFormat="false" ht="12.75" hidden="false" customHeight="false" outlineLevel="0" collapsed="false">
      <c r="CN423" s="32"/>
      <c r="CO423" s="32"/>
    </row>
    <row r="424" customFormat="false" ht="12.75" hidden="false" customHeight="false" outlineLevel="0" collapsed="false">
      <c r="B424" s="267" t="s">
        <v>937</v>
      </c>
      <c r="C424" s="51"/>
      <c r="D424" s="51"/>
      <c r="E424" s="51"/>
      <c r="F424" s="52"/>
      <c r="H424" s="267" t="s">
        <v>937</v>
      </c>
      <c r="I424" s="51"/>
      <c r="J424" s="51"/>
      <c r="K424" s="51"/>
      <c r="L424" s="52"/>
      <c r="N424" s="267" t="s">
        <v>937</v>
      </c>
      <c r="O424" s="51"/>
      <c r="P424" s="51"/>
      <c r="Q424" s="51"/>
      <c r="R424" s="52"/>
      <c r="T424" s="267" t="s">
        <v>937</v>
      </c>
      <c r="U424" s="51"/>
      <c r="V424" s="51"/>
      <c r="W424" s="51"/>
      <c r="X424" s="52"/>
      <c r="AA424" s="270" t="s">
        <v>937</v>
      </c>
      <c r="AB424" s="105"/>
      <c r="AC424" s="105"/>
      <c r="AD424" s="105"/>
      <c r="AE424" s="271"/>
      <c r="CN424" s="32"/>
      <c r="CO424" s="32"/>
    </row>
    <row r="425" customFormat="false" ht="12.75" hidden="false" customHeight="false" outlineLevel="0" collapsed="false">
      <c r="A425" s="32" t="n">
        <v>1</v>
      </c>
      <c r="B425" s="268"/>
      <c r="C425" s="67" t="str">
        <f aca="false">IF(OR(T$598&lt;1,Spells!L3=""),"",Spells!L3&amp;" ("&amp;Spells!M3&amp;")")</f>
        <v/>
      </c>
      <c r="D425" s="67"/>
      <c r="E425" s="67"/>
      <c r="F425" s="68"/>
      <c r="G425" s="32" t="n">
        <f aca="false">A454+1</f>
        <v>31</v>
      </c>
      <c r="H425" s="268"/>
      <c r="I425" s="67" t="str">
        <f aca="false">IF(OR(T$598&lt;1,Spells!L33=""),"",Spells!L33&amp;" ("&amp;Spells!M33&amp;")")</f>
        <v/>
      </c>
      <c r="J425" s="67"/>
      <c r="K425" s="67"/>
      <c r="L425" s="68"/>
      <c r="M425" s="32" t="n">
        <f aca="false">G454+1</f>
        <v>61</v>
      </c>
      <c r="N425" s="268"/>
      <c r="O425" s="67" t="str">
        <f aca="false">IF(OR(T$598&lt;1,Spells!L63=""),"",Spells!L63&amp;" ("&amp;Spells!M63&amp;")")</f>
        <v/>
      </c>
      <c r="P425" s="67"/>
      <c r="Q425" s="67"/>
      <c r="R425" s="68"/>
      <c r="S425" s="32" t="n">
        <v>91</v>
      </c>
      <c r="T425" s="268"/>
      <c r="U425" s="67" t="str">
        <f aca="false">IF(OR(T$598&lt;1,Spells!L93=""),"",Spells!L93&amp;" ("&amp;Spells!M93&amp;")")</f>
        <v/>
      </c>
      <c r="V425" s="67"/>
      <c r="W425" s="67"/>
      <c r="X425" s="68"/>
      <c r="Y425" s="32" t="n">
        <v>121</v>
      </c>
      <c r="AA425" s="268"/>
      <c r="AB425" s="67" t="str">
        <f aca="false">IF(OR(T$598&lt;1,Spells!L121=""),"",Spells!L121&amp;" ("&amp;Spells!M121&amp;")")</f>
        <v/>
      </c>
      <c r="AC425" s="67"/>
      <c r="AD425" s="67"/>
      <c r="AE425" s="68"/>
      <c r="CN425" s="32"/>
      <c r="CO425" s="32"/>
    </row>
    <row r="426" customFormat="false" ht="12.75" hidden="false" customHeight="false" outlineLevel="0" collapsed="false">
      <c r="A426" s="32" t="n">
        <v>2</v>
      </c>
      <c r="B426" s="268"/>
      <c r="C426" s="67" t="str">
        <f aca="false">IF(OR(T$598&lt;1,Spells!L4=""),"",Spells!L4&amp;" ("&amp;Spells!M4&amp;")")</f>
        <v/>
      </c>
      <c r="D426" s="67"/>
      <c r="E426" s="67"/>
      <c r="F426" s="68"/>
      <c r="G426" s="32" t="n">
        <f aca="false">G425+1</f>
        <v>32</v>
      </c>
      <c r="H426" s="268"/>
      <c r="I426" s="67" t="str">
        <f aca="false">IF(OR(T$598&lt;1,Spells!L34=""),"",Spells!L34&amp;" ("&amp;Spells!M34&amp;")")</f>
        <v/>
      </c>
      <c r="J426" s="67"/>
      <c r="K426" s="67"/>
      <c r="L426" s="68"/>
      <c r="M426" s="32" t="n">
        <f aca="false">M425+1</f>
        <v>62</v>
      </c>
      <c r="N426" s="268"/>
      <c r="O426" s="67" t="str">
        <f aca="false">IF(OR(T$598&lt;1,Spells!L64=""),"",Spells!L64&amp;" ("&amp;Spells!M64&amp;")")</f>
        <v/>
      </c>
      <c r="P426" s="67"/>
      <c r="Q426" s="67"/>
      <c r="R426" s="68"/>
      <c r="S426" s="32" t="n">
        <f aca="false">S425+1</f>
        <v>92</v>
      </c>
      <c r="T426" s="268"/>
      <c r="U426" s="67" t="str">
        <f aca="false">IF(OR(T$598&lt;1,Spells!L94=""),"",Spells!L94&amp;" ("&amp;Spells!M94&amp;")")</f>
        <v/>
      </c>
      <c r="V426" s="67"/>
      <c r="W426" s="67"/>
      <c r="X426" s="68"/>
      <c r="Y426" s="32" t="n">
        <v>122</v>
      </c>
      <c r="AA426" s="268"/>
      <c r="AB426" s="67" t="str">
        <f aca="false">IF(OR(T$598&lt;1,Spells!L122=""),"",Spells!L122&amp;" ("&amp;Spells!M122&amp;")")</f>
        <v/>
      </c>
      <c r="AC426" s="67"/>
      <c r="AD426" s="67"/>
      <c r="AE426" s="68"/>
      <c r="CN426" s="32"/>
      <c r="CO426" s="32"/>
    </row>
    <row r="427" customFormat="false" ht="12.75" hidden="false" customHeight="false" outlineLevel="0" collapsed="false">
      <c r="A427" s="32" t="n">
        <f aca="false">A426+1</f>
        <v>3</v>
      </c>
      <c r="B427" s="268"/>
      <c r="C427" s="67" t="str">
        <f aca="false">IF(OR(T$598&lt;1,Spells!L5=""),"",Spells!L5&amp;" ("&amp;Spells!M5&amp;")")</f>
        <v/>
      </c>
      <c r="D427" s="67"/>
      <c r="E427" s="67"/>
      <c r="F427" s="68"/>
      <c r="G427" s="32" t="n">
        <f aca="false">G426+1</f>
        <v>33</v>
      </c>
      <c r="H427" s="268"/>
      <c r="I427" s="67" t="str">
        <f aca="false">IF(OR(T$598&lt;1,Spells!L35=""),"",Spells!L35&amp;" ("&amp;Spells!M35&amp;")")</f>
        <v/>
      </c>
      <c r="J427" s="67"/>
      <c r="K427" s="67"/>
      <c r="L427" s="68"/>
      <c r="M427" s="32" t="n">
        <f aca="false">M426+1</f>
        <v>63</v>
      </c>
      <c r="N427" s="268"/>
      <c r="O427" s="67" t="str">
        <f aca="false">IF(OR(T$598&lt;1,Spells!L65=""),"",Spells!L65&amp;" ("&amp;Spells!M65&amp;")")</f>
        <v/>
      </c>
      <c r="P427" s="67"/>
      <c r="Q427" s="67"/>
      <c r="R427" s="68"/>
      <c r="S427" s="32" t="n">
        <f aca="false">S426+1</f>
        <v>93</v>
      </c>
      <c r="T427" s="268"/>
      <c r="U427" s="67" t="str">
        <f aca="false">IF(OR(T$598&lt;1,Spells!L95=""),"",Spells!L95&amp;" ("&amp;Spells!M95&amp;")")</f>
        <v/>
      </c>
      <c r="V427" s="67"/>
      <c r="W427" s="67"/>
      <c r="X427" s="68"/>
      <c r="Y427" s="32" t="n">
        <v>123</v>
      </c>
      <c r="AA427" s="268"/>
      <c r="AB427" s="67" t="str">
        <f aca="false">IF(OR(T$598&lt;1,Spells!L123=""),"",Spells!L123&amp;" ("&amp;Spells!M123&amp;")")</f>
        <v/>
      </c>
      <c r="AC427" s="67"/>
      <c r="AD427" s="67"/>
      <c r="AE427" s="68"/>
      <c r="CN427" s="32"/>
      <c r="CO427" s="32"/>
    </row>
    <row r="428" customFormat="false" ht="12.75" hidden="false" customHeight="false" outlineLevel="0" collapsed="false">
      <c r="A428" s="32" t="n">
        <f aca="false">A427+1</f>
        <v>4</v>
      </c>
      <c r="B428" s="268"/>
      <c r="C428" s="67" t="str">
        <f aca="false">IF(OR(T$598&lt;1,Spells!L6=""),"",Spells!L6&amp;" ("&amp;Spells!M6&amp;")")</f>
        <v/>
      </c>
      <c r="D428" s="67"/>
      <c r="E428" s="67"/>
      <c r="F428" s="68"/>
      <c r="G428" s="32" t="n">
        <f aca="false">G427+1</f>
        <v>34</v>
      </c>
      <c r="H428" s="268"/>
      <c r="I428" s="67" t="str">
        <f aca="false">IF(OR(T$598&lt;1,Spells!L36=""),"",Spells!L36&amp;" ("&amp;Spells!M36&amp;")")</f>
        <v/>
      </c>
      <c r="J428" s="67"/>
      <c r="K428" s="67"/>
      <c r="L428" s="68"/>
      <c r="M428" s="32" t="n">
        <f aca="false">M427+1</f>
        <v>64</v>
      </c>
      <c r="N428" s="268"/>
      <c r="O428" s="67" t="str">
        <f aca="false">IF(OR(T$598&lt;1,Spells!L66=""),"",Spells!L66&amp;" ("&amp;Spells!M66&amp;")")</f>
        <v/>
      </c>
      <c r="P428" s="67"/>
      <c r="Q428" s="67"/>
      <c r="R428" s="68"/>
      <c r="S428" s="32" t="n">
        <f aca="false">S427+1</f>
        <v>94</v>
      </c>
      <c r="T428" s="268"/>
      <c r="U428" s="67" t="str">
        <f aca="false">IF(OR(T$598&lt;1,Spells!L96=""),"",Spells!L96&amp;" ("&amp;Spells!M96&amp;")")</f>
        <v/>
      </c>
      <c r="V428" s="67"/>
      <c r="W428" s="67"/>
      <c r="X428" s="68"/>
      <c r="Y428" s="56" t="n">
        <v>124</v>
      </c>
      <c r="Z428" s="56"/>
      <c r="AA428" s="268"/>
      <c r="AB428" s="67" t="str">
        <f aca="false">IF(OR(T$598&lt;1,Spells!L124=""),"",Spells!L124&amp;" ("&amp;Spells!M124&amp;")")</f>
        <v/>
      </c>
      <c r="AC428" s="67"/>
      <c r="AD428" s="67"/>
      <c r="AE428" s="68"/>
      <c r="CN428" s="32"/>
      <c r="CO428" s="32"/>
    </row>
    <row r="429" customFormat="false" ht="12.75" hidden="false" customHeight="false" outlineLevel="0" collapsed="false">
      <c r="A429" s="32" t="n">
        <f aca="false">A428+1</f>
        <v>5</v>
      </c>
      <c r="B429" s="268"/>
      <c r="C429" s="67" t="str">
        <f aca="false">IF(OR(T$598&lt;1,Spells!L7=""),"",Spells!L7&amp;" ("&amp;Spells!M7&amp;")")</f>
        <v/>
      </c>
      <c r="D429" s="67"/>
      <c r="E429" s="67"/>
      <c r="F429" s="68"/>
      <c r="G429" s="32" t="n">
        <f aca="false">G428+1</f>
        <v>35</v>
      </c>
      <c r="H429" s="268"/>
      <c r="I429" s="67" t="str">
        <f aca="false">IF(OR(T$598&lt;1,Spells!L37=""),"",Spells!L37&amp;" ("&amp;Spells!M37&amp;")")</f>
        <v/>
      </c>
      <c r="J429" s="67"/>
      <c r="K429" s="67"/>
      <c r="L429" s="68"/>
      <c r="M429" s="32" t="n">
        <f aca="false">M428+1</f>
        <v>65</v>
      </c>
      <c r="N429" s="268"/>
      <c r="O429" s="67" t="str">
        <f aca="false">IF(OR(T$598&lt;1,Spells!L67=""),"",Spells!L67&amp;" ("&amp;Spells!M67&amp;")")</f>
        <v/>
      </c>
      <c r="P429" s="67"/>
      <c r="Q429" s="67"/>
      <c r="R429" s="68"/>
      <c r="S429" s="32" t="n">
        <f aca="false">S428+1</f>
        <v>95</v>
      </c>
      <c r="T429" s="268"/>
      <c r="U429" s="67" t="str">
        <f aca="false">IF(OR(T$598&lt;1,Spells!L97=""),"",Spells!L97&amp;" ("&amp;Spells!M97&amp;")")</f>
        <v/>
      </c>
      <c r="V429" s="67"/>
      <c r="W429" s="67"/>
      <c r="X429" s="68"/>
      <c r="Y429" s="56" t="n">
        <v>125</v>
      </c>
      <c r="Z429" s="56"/>
      <c r="AA429" s="268"/>
      <c r="AB429" s="67" t="str">
        <f aca="false">IF(OR(T$598&lt;1,Spells!L125=""),"",Spells!L125&amp;" ("&amp;Spells!M125&amp;")")</f>
        <v/>
      </c>
      <c r="AC429" s="67"/>
      <c r="AD429" s="67"/>
      <c r="AE429" s="68"/>
      <c r="CN429" s="32"/>
      <c r="CO429" s="32"/>
    </row>
    <row r="430" customFormat="false" ht="12.75" hidden="false" customHeight="false" outlineLevel="0" collapsed="false">
      <c r="A430" s="32" t="n">
        <f aca="false">A429+1</f>
        <v>6</v>
      </c>
      <c r="B430" s="268"/>
      <c r="C430" s="67" t="str">
        <f aca="false">IF(OR(T$598&lt;1,Spells!L8=""),"",Spells!L8&amp;" ("&amp;Spells!M8&amp;")")</f>
        <v/>
      </c>
      <c r="D430" s="67"/>
      <c r="E430" s="67"/>
      <c r="F430" s="68"/>
      <c r="G430" s="32" t="n">
        <f aca="false">G429+1</f>
        <v>36</v>
      </c>
      <c r="H430" s="268"/>
      <c r="I430" s="67" t="str">
        <f aca="false">IF(OR(T$598&lt;1,Spells!L38=""),"",Spells!L38&amp;" ("&amp;Spells!M38&amp;")")</f>
        <v/>
      </c>
      <c r="J430" s="67"/>
      <c r="K430" s="67"/>
      <c r="L430" s="68"/>
      <c r="M430" s="32" t="n">
        <f aca="false">M429+1</f>
        <v>66</v>
      </c>
      <c r="N430" s="268"/>
      <c r="O430" s="67" t="str">
        <f aca="false">IF(OR(T$598&lt;1,Spells!L68=""),"",Spells!L68&amp;" ("&amp;Spells!M68&amp;")")</f>
        <v/>
      </c>
      <c r="P430" s="67"/>
      <c r="Q430" s="67"/>
      <c r="R430" s="68"/>
      <c r="S430" s="32" t="n">
        <f aca="false">S429+1</f>
        <v>96</v>
      </c>
      <c r="T430" s="268"/>
      <c r="U430" s="67" t="str">
        <f aca="false">IF(OR(T$598&lt;1,Spells!L98=""),"",Spells!L98&amp;" ("&amp;Spells!M98&amp;")")</f>
        <v/>
      </c>
      <c r="V430" s="67"/>
      <c r="W430" s="67"/>
      <c r="X430" s="68"/>
      <c r="Y430" s="56" t="n">
        <v>126</v>
      </c>
      <c r="Z430" s="56"/>
      <c r="AA430" s="268"/>
      <c r="AB430" s="67" t="str">
        <f aca="false">IF(OR(T$598&lt;1,Spells!L126=""),"",Spells!L126&amp;" ("&amp;Spells!M126&amp;")")</f>
        <v/>
      </c>
      <c r="AC430" s="67"/>
      <c r="AD430" s="67"/>
      <c r="AE430" s="68"/>
      <c r="CN430" s="32"/>
      <c r="CO430" s="32"/>
    </row>
    <row r="431" customFormat="false" ht="12.75" hidden="false" customHeight="false" outlineLevel="0" collapsed="false">
      <c r="A431" s="32" t="n">
        <f aca="false">A430+1</f>
        <v>7</v>
      </c>
      <c r="B431" s="268"/>
      <c r="C431" s="67" t="str">
        <f aca="false">IF(OR(T$598&lt;1,Spells!L9=""),"",Spells!L9&amp;" ("&amp;Spells!M9&amp;")")</f>
        <v/>
      </c>
      <c r="D431" s="67"/>
      <c r="E431" s="67"/>
      <c r="F431" s="68"/>
      <c r="G431" s="32" t="n">
        <f aca="false">G430+1</f>
        <v>37</v>
      </c>
      <c r="H431" s="268"/>
      <c r="I431" s="67" t="str">
        <f aca="false">IF(OR(T$598&lt;1,Spells!L39=""),"",Spells!L39&amp;" ("&amp;Spells!M39&amp;")")</f>
        <v/>
      </c>
      <c r="J431" s="67"/>
      <c r="K431" s="67"/>
      <c r="L431" s="68"/>
      <c r="M431" s="32" t="n">
        <f aca="false">M430+1</f>
        <v>67</v>
      </c>
      <c r="N431" s="268"/>
      <c r="O431" s="67" t="str">
        <f aca="false">IF(OR(T$598&lt;1,Spells!L69=""),"",Spells!L69&amp;" ("&amp;Spells!M69&amp;")")</f>
        <v/>
      </c>
      <c r="P431" s="67"/>
      <c r="Q431" s="67"/>
      <c r="R431" s="68"/>
      <c r="S431" s="32" t="n">
        <f aca="false">S430+1</f>
        <v>97</v>
      </c>
      <c r="T431" s="268"/>
      <c r="U431" s="67" t="str">
        <f aca="false">IF(OR(T$598&lt;1,Spells!L99=""),"",Spells!L99&amp;" ("&amp;Spells!M99&amp;")")</f>
        <v/>
      </c>
      <c r="V431" s="67"/>
      <c r="W431" s="67"/>
      <c r="X431" s="68"/>
      <c r="Y431" s="56" t="n">
        <v>127</v>
      </c>
      <c r="Z431" s="56"/>
      <c r="AA431" s="268"/>
      <c r="AB431" s="67" t="str">
        <f aca="false">IF(OR(T$598&lt;1,Spells!L127=""),"",Spells!L127&amp;" ("&amp;Spells!M127&amp;")")</f>
        <v/>
      </c>
      <c r="AC431" s="67"/>
      <c r="AD431" s="67"/>
      <c r="AE431" s="68"/>
      <c r="CN431" s="32"/>
      <c r="CO431" s="32"/>
    </row>
    <row r="432" customFormat="false" ht="12.75" hidden="false" customHeight="false" outlineLevel="0" collapsed="false">
      <c r="A432" s="32" t="n">
        <f aca="false">A431+1</f>
        <v>8</v>
      </c>
      <c r="B432" s="268"/>
      <c r="C432" s="67" t="str">
        <f aca="false">IF(OR(T$598&lt;1,Spells!L10=""),"",Spells!L10&amp;" ("&amp;Spells!M10&amp;")")</f>
        <v/>
      </c>
      <c r="D432" s="67"/>
      <c r="E432" s="67"/>
      <c r="F432" s="68"/>
      <c r="G432" s="32" t="n">
        <f aca="false">G431+1</f>
        <v>38</v>
      </c>
      <c r="H432" s="268"/>
      <c r="I432" s="67" t="str">
        <f aca="false">IF(OR(T$598&lt;1,Spells!L40=""),"",Spells!L40&amp;" ("&amp;Spells!M40&amp;")")</f>
        <v/>
      </c>
      <c r="J432" s="67"/>
      <c r="K432" s="67"/>
      <c r="L432" s="68"/>
      <c r="M432" s="32" t="n">
        <f aca="false">M431+1</f>
        <v>68</v>
      </c>
      <c r="N432" s="268"/>
      <c r="O432" s="67" t="str">
        <f aca="false">IF(OR(T$598&lt;1,Spells!L70=""),"",Spells!L70&amp;" ("&amp;Spells!M70&amp;")")</f>
        <v/>
      </c>
      <c r="P432" s="67"/>
      <c r="Q432" s="67"/>
      <c r="R432" s="68"/>
      <c r="S432" s="32" t="n">
        <f aca="false">S431+1</f>
        <v>98</v>
      </c>
      <c r="T432" s="268"/>
      <c r="U432" s="67" t="str">
        <f aca="false">IF(OR(T$598&lt;1,Spells!L100=""),"",Spells!L100&amp;" ("&amp;Spells!M100&amp;")")</f>
        <v/>
      </c>
      <c r="V432" s="67"/>
      <c r="W432" s="67"/>
      <c r="X432" s="68"/>
      <c r="Y432" s="56" t="n">
        <v>128</v>
      </c>
      <c r="Z432" s="56"/>
      <c r="AA432" s="269"/>
      <c r="AB432" s="272" t="str">
        <f aca="false">IF(OR(T$598&lt;1,Spells!L128=""),"",Spells!L128&amp;" ("&amp;Spells!M128&amp;")")</f>
        <v/>
      </c>
      <c r="AC432" s="272"/>
      <c r="AD432" s="272"/>
      <c r="AE432" s="273"/>
      <c r="CN432" s="32"/>
      <c r="CO432" s="32"/>
    </row>
    <row r="433" customFormat="false" ht="12.75" hidden="false" customHeight="false" outlineLevel="0" collapsed="false">
      <c r="A433" s="32" t="n">
        <f aca="false">A432+1</f>
        <v>9</v>
      </c>
      <c r="B433" s="268"/>
      <c r="C433" s="67" t="str">
        <f aca="false">IF(OR(T$598&lt;1,Spells!L11=""),"",Spells!L11&amp;" ("&amp;Spells!M11&amp;")")</f>
        <v/>
      </c>
      <c r="D433" s="67"/>
      <c r="E433" s="67"/>
      <c r="F433" s="68"/>
      <c r="G433" s="32" t="n">
        <f aca="false">G432+1</f>
        <v>39</v>
      </c>
      <c r="H433" s="268"/>
      <c r="I433" s="67" t="str">
        <f aca="false">IF(OR(T$598&lt;1,Spells!L41=""),"",Spells!L41&amp;" ("&amp;Spells!M41&amp;")")</f>
        <v/>
      </c>
      <c r="J433" s="67"/>
      <c r="K433" s="67"/>
      <c r="L433" s="68"/>
      <c r="M433" s="32" t="n">
        <f aca="false">M432+1</f>
        <v>69</v>
      </c>
      <c r="N433" s="268"/>
      <c r="O433" s="67" t="str">
        <f aca="false">IF(OR(T$598&lt;1,Spells!L71=""),"",Spells!L71&amp;" ("&amp;Spells!M71&amp;")")</f>
        <v/>
      </c>
      <c r="P433" s="67"/>
      <c r="Q433" s="67"/>
      <c r="R433" s="68"/>
      <c r="S433" s="32" t="n">
        <f aca="false">S432+1</f>
        <v>99</v>
      </c>
      <c r="T433" s="268"/>
      <c r="U433" s="67" t="str">
        <f aca="false">IF(OR(T$598&lt;1,Spells!L101=""),"",Spells!L101&amp;" ("&amp;Spells!M101&amp;")")</f>
        <v/>
      </c>
      <c r="V433" s="67"/>
      <c r="W433" s="67"/>
      <c r="X433" s="68"/>
      <c r="CN433" s="32"/>
      <c r="CO433" s="32"/>
    </row>
    <row r="434" customFormat="false" ht="12.75" hidden="false" customHeight="false" outlineLevel="0" collapsed="false">
      <c r="A434" s="32" t="n">
        <f aca="false">A433+1</f>
        <v>10</v>
      </c>
      <c r="B434" s="268"/>
      <c r="C434" s="67" t="str">
        <f aca="false">IF(OR(T$598&lt;1,Spells!L12=""),"",Spells!L12&amp;" ("&amp;Spells!M12&amp;")")</f>
        <v/>
      </c>
      <c r="D434" s="67"/>
      <c r="E434" s="67"/>
      <c r="F434" s="68"/>
      <c r="G434" s="32" t="n">
        <f aca="false">G433+1</f>
        <v>40</v>
      </c>
      <c r="H434" s="268"/>
      <c r="I434" s="67" t="str">
        <f aca="false">IF(OR(T$598&lt;1,Spells!L42=""),"",Spells!L42&amp;" ("&amp;Spells!M42&amp;")")</f>
        <v/>
      </c>
      <c r="J434" s="67"/>
      <c r="K434" s="67"/>
      <c r="L434" s="68"/>
      <c r="M434" s="32" t="n">
        <f aca="false">M433+1</f>
        <v>70</v>
      </c>
      <c r="N434" s="268"/>
      <c r="O434" s="67" t="str">
        <f aca="false">IF(OR(T$598&lt;1,Spells!L72=""),"",Spells!L72&amp;" ("&amp;Spells!M72&amp;")")</f>
        <v/>
      </c>
      <c r="P434" s="67"/>
      <c r="Q434" s="67"/>
      <c r="R434" s="68"/>
      <c r="S434" s="32" t="n">
        <f aca="false">S433+1</f>
        <v>100</v>
      </c>
      <c r="T434" s="268"/>
      <c r="U434" s="67" t="str">
        <f aca="false">IF(OR(T$598&lt;1,Spells!L102=""),"",Spells!L102&amp;" ("&amp;Spells!M102&amp;")")</f>
        <v/>
      </c>
      <c r="V434" s="67"/>
      <c r="W434" s="67"/>
      <c r="X434" s="68"/>
      <c r="CN434" s="32"/>
      <c r="CO434" s="32"/>
    </row>
    <row r="435" customFormat="false" ht="12.75" hidden="false" customHeight="false" outlineLevel="0" collapsed="false">
      <c r="A435" s="32" t="n">
        <f aca="false">A434+1</f>
        <v>11</v>
      </c>
      <c r="B435" s="268"/>
      <c r="C435" s="67" t="str">
        <f aca="false">IF(OR(T$598&lt;1,Spells!L13=""),"",Spells!L13&amp;" ("&amp;Spells!M13&amp;")")</f>
        <v/>
      </c>
      <c r="D435" s="67"/>
      <c r="E435" s="67"/>
      <c r="F435" s="68"/>
      <c r="G435" s="32" t="n">
        <f aca="false">G434+1</f>
        <v>41</v>
      </c>
      <c r="H435" s="268"/>
      <c r="I435" s="67" t="str">
        <f aca="false">IF(OR(T$598&lt;1,Spells!L43=""),"",Spells!L43&amp;" ("&amp;Spells!M43&amp;")")</f>
        <v/>
      </c>
      <c r="J435" s="67"/>
      <c r="K435" s="67"/>
      <c r="L435" s="68"/>
      <c r="M435" s="32" t="n">
        <f aca="false">M434+1</f>
        <v>71</v>
      </c>
      <c r="N435" s="268"/>
      <c r="O435" s="67" t="str">
        <f aca="false">IF(OR(T$598&lt;1,Spells!L73=""),"",Spells!L73&amp;" ("&amp;Spells!M73&amp;")")</f>
        <v/>
      </c>
      <c r="P435" s="67"/>
      <c r="Q435" s="67"/>
      <c r="R435" s="68"/>
      <c r="S435" s="32" t="n">
        <f aca="false">S434+1</f>
        <v>101</v>
      </c>
      <c r="T435" s="268"/>
      <c r="U435" s="67" t="str">
        <f aca="false">IF(OR(T$598&lt;1,Spells!L103=""),"",Spells!L103&amp;" ("&amp;Spells!M103&amp;")")</f>
        <v/>
      </c>
      <c r="V435" s="67"/>
      <c r="W435" s="67"/>
      <c r="X435" s="68"/>
      <c r="CN435" s="32"/>
      <c r="CO435" s="32"/>
    </row>
    <row r="436" customFormat="false" ht="12.75" hidden="false" customHeight="false" outlineLevel="0" collapsed="false">
      <c r="A436" s="32" t="n">
        <f aca="false">A435+1</f>
        <v>12</v>
      </c>
      <c r="B436" s="268"/>
      <c r="C436" s="67" t="str">
        <f aca="false">IF(OR(T$598&lt;1,Spells!L14=""),"",Spells!L14&amp;" ("&amp;Spells!M14&amp;")")</f>
        <v/>
      </c>
      <c r="D436" s="67"/>
      <c r="E436" s="67"/>
      <c r="F436" s="68"/>
      <c r="G436" s="32" t="n">
        <f aca="false">G435+1</f>
        <v>42</v>
      </c>
      <c r="H436" s="268"/>
      <c r="I436" s="67" t="str">
        <f aca="false">IF(OR(T$598&lt;1,Spells!L44=""),"",Spells!L44&amp;" ("&amp;Spells!M44&amp;")")</f>
        <v/>
      </c>
      <c r="J436" s="67"/>
      <c r="K436" s="67"/>
      <c r="L436" s="68"/>
      <c r="M436" s="32" t="n">
        <f aca="false">M435+1</f>
        <v>72</v>
      </c>
      <c r="N436" s="268"/>
      <c r="O436" s="67" t="str">
        <f aca="false">IF(OR(T$598&lt;1,Spells!L74=""),"",Spells!L74&amp;" ("&amp;Spells!M74&amp;")")</f>
        <v/>
      </c>
      <c r="P436" s="67"/>
      <c r="Q436" s="67"/>
      <c r="R436" s="68"/>
      <c r="S436" s="32" t="n">
        <f aca="false">S435+1</f>
        <v>102</v>
      </c>
      <c r="T436" s="268"/>
      <c r="U436" s="67" t="str">
        <f aca="false">IF(OR(T$598&lt;1,Spells!L104=""),"",Spells!L104&amp;" ("&amp;Spells!M104&amp;")")</f>
        <v/>
      </c>
      <c r="V436" s="67"/>
      <c r="W436" s="67"/>
      <c r="X436" s="68"/>
      <c r="CN436" s="32"/>
      <c r="CO436" s="32"/>
    </row>
    <row r="437" customFormat="false" ht="12.75" hidden="false" customHeight="false" outlineLevel="0" collapsed="false">
      <c r="A437" s="32" t="n">
        <f aca="false">A436+1</f>
        <v>13</v>
      </c>
      <c r="B437" s="268"/>
      <c r="C437" s="67" t="str">
        <f aca="false">IF(OR(T$598&lt;1,Spells!L15=""),"",Spells!L15&amp;" ("&amp;Spells!M15&amp;")")</f>
        <v/>
      </c>
      <c r="D437" s="67"/>
      <c r="E437" s="67"/>
      <c r="F437" s="68"/>
      <c r="G437" s="32" t="n">
        <f aca="false">G436+1</f>
        <v>43</v>
      </c>
      <c r="H437" s="268"/>
      <c r="I437" s="67" t="str">
        <f aca="false">IF(OR(T$598&lt;1,Spells!L45=""),"",Spells!L45&amp;" ("&amp;Spells!M45&amp;")")</f>
        <v/>
      </c>
      <c r="J437" s="67"/>
      <c r="K437" s="67"/>
      <c r="L437" s="68"/>
      <c r="M437" s="32" t="n">
        <f aca="false">M436+1</f>
        <v>73</v>
      </c>
      <c r="N437" s="268"/>
      <c r="O437" s="67" t="str">
        <f aca="false">IF(OR(T$598&lt;1,Spells!L75=""),"",Spells!L75&amp;" ("&amp;Spells!M75&amp;")")</f>
        <v/>
      </c>
      <c r="P437" s="67"/>
      <c r="Q437" s="67"/>
      <c r="R437" s="68"/>
      <c r="S437" s="32" t="n">
        <f aca="false">S436+1</f>
        <v>103</v>
      </c>
      <c r="T437" s="268"/>
      <c r="U437" s="67" t="str">
        <f aca="false">IF(OR(T$598&lt;1,Spells!L105=""),"",Spells!L105&amp;" ("&amp;Spells!M105&amp;")")</f>
        <v/>
      </c>
      <c r="V437" s="67"/>
      <c r="W437" s="67"/>
      <c r="X437" s="68"/>
      <c r="CN437" s="32"/>
      <c r="CO437" s="32"/>
    </row>
    <row r="438" customFormat="false" ht="12.75" hidden="false" customHeight="false" outlineLevel="0" collapsed="false">
      <c r="A438" s="32" t="n">
        <f aca="false">A437+1</f>
        <v>14</v>
      </c>
      <c r="B438" s="268"/>
      <c r="C438" s="67" t="str">
        <f aca="false">IF(OR(T$598&lt;1,Spells!L16=""),"",Spells!L16&amp;" ("&amp;Spells!M16&amp;")")</f>
        <v/>
      </c>
      <c r="D438" s="67"/>
      <c r="E438" s="67"/>
      <c r="F438" s="68"/>
      <c r="G438" s="32" t="n">
        <f aca="false">G437+1</f>
        <v>44</v>
      </c>
      <c r="H438" s="268"/>
      <c r="I438" s="67" t="str">
        <f aca="false">IF(OR(T$598&lt;1,Spells!L46=""),"",Spells!L46&amp;" ("&amp;Spells!M46&amp;")")</f>
        <v/>
      </c>
      <c r="J438" s="67"/>
      <c r="K438" s="67"/>
      <c r="L438" s="68"/>
      <c r="M438" s="32" t="n">
        <f aca="false">M437+1</f>
        <v>74</v>
      </c>
      <c r="N438" s="268"/>
      <c r="O438" s="67" t="str">
        <f aca="false">IF(OR(T$598&lt;1,Spells!L76=""),"",Spells!L76&amp;" ("&amp;Spells!M76&amp;")")</f>
        <v/>
      </c>
      <c r="P438" s="67"/>
      <c r="Q438" s="67"/>
      <c r="R438" s="68"/>
      <c r="S438" s="32" t="n">
        <f aca="false">S437+1</f>
        <v>104</v>
      </c>
      <c r="T438" s="268"/>
      <c r="U438" s="67" t="str">
        <f aca="false">IF(OR(T$598&lt;1,Spells!L106=""),"",Spells!L106&amp;" ("&amp;Spells!M106&amp;")")</f>
        <v/>
      </c>
      <c r="V438" s="67"/>
      <c r="W438" s="67"/>
      <c r="X438" s="68"/>
      <c r="CN438" s="32"/>
      <c r="CO438" s="32"/>
    </row>
    <row r="439" customFormat="false" ht="12.75" hidden="false" customHeight="false" outlineLevel="0" collapsed="false">
      <c r="A439" s="32" t="n">
        <f aca="false">A438+1</f>
        <v>15</v>
      </c>
      <c r="B439" s="268"/>
      <c r="C439" s="67" t="str">
        <f aca="false">IF(OR(T$598&lt;1,Spells!L17=""),"",Spells!L17&amp;" ("&amp;Spells!M17&amp;")")</f>
        <v/>
      </c>
      <c r="D439" s="67"/>
      <c r="E439" s="67"/>
      <c r="F439" s="68"/>
      <c r="G439" s="32" t="n">
        <f aca="false">G438+1</f>
        <v>45</v>
      </c>
      <c r="H439" s="268"/>
      <c r="I439" s="67" t="str">
        <f aca="false">IF(OR(T$598&lt;1,Spells!L47=""),"",Spells!L47&amp;" ("&amp;Spells!M47&amp;")")</f>
        <v/>
      </c>
      <c r="J439" s="67"/>
      <c r="K439" s="67"/>
      <c r="L439" s="68"/>
      <c r="M439" s="32" t="n">
        <f aca="false">M438+1</f>
        <v>75</v>
      </c>
      <c r="N439" s="268"/>
      <c r="O439" s="67" t="str">
        <f aca="false">IF(OR(T$598&lt;1,Spells!L77=""),"",Spells!L77&amp;" ("&amp;Spells!M77&amp;")")</f>
        <v/>
      </c>
      <c r="P439" s="67"/>
      <c r="Q439" s="67"/>
      <c r="R439" s="68"/>
      <c r="S439" s="32" t="n">
        <f aca="false">S438+1</f>
        <v>105</v>
      </c>
      <c r="T439" s="268"/>
      <c r="U439" s="67" t="str">
        <f aca="false">IF(OR(T$598&lt;1,Spells!L107=""),"",Spells!L107&amp;" ("&amp;Spells!M107&amp;")")</f>
        <v/>
      </c>
      <c r="V439" s="67"/>
      <c r="W439" s="67"/>
      <c r="X439" s="68"/>
      <c r="CN439" s="32"/>
      <c r="CO439" s="32"/>
    </row>
    <row r="440" customFormat="false" ht="12.75" hidden="false" customHeight="false" outlineLevel="0" collapsed="false">
      <c r="A440" s="32" t="n">
        <f aca="false">A439+1</f>
        <v>16</v>
      </c>
      <c r="B440" s="268"/>
      <c r="C440" s="67" t="str">
        <f aca="false">IF(OR(T$598&lt;1,Spells!L18=""),"",Spells!L18&amp;" ("&amp;Spells!M18&amp;")")</f>
        <v/>
      </c>
      <c r="D440" s="67"/>
      <c r="E440" s="67"/>
      <c r="F440" s="68"/>
      <c r="G440" s="32" t="n">
        <f aca="false">G439+1</f>
        <v>46</v>
      </c>
      <c r="H440" s="268"/>
      <c r="I440" s="67" t="str">
        <f aca="false">IF(OR(T$598&lt;1,Spells!L48=""),"",Spells!L48&amp;" ("&amp;Spells!M48&amp;")")</f>
        <v/>
      </c>
      <c r="J440" s="67"/>
      <c r="K440" s="67"/>
      <c r="L440" s="68"/>
      <c r="M440" s="32" t="n">
        <f aca="false">M439+1</f>
        <v>76</v>
      </c>
      <c r="N440" s="268"/>
      <c r="O440" s="67" t="str">
        <f aca="false">IF(OR(T$598&lt;1,Spells!L78=""),"",Spells!L78&amp;" ("&amp;Spells!M78&amp;")")</f>
        <v/>
      </c>
      <c r="P440" s="174"/>
      <c r="Q440" s="174"/>
      <c r="R440" s="274"/>
      <c r="S440" s="32" t="n">
        <f aca="false">S439+1</f>
        <v>106</v>
      </c>
      <c r="T440" s="268"/>
      <c r="U440" s="67" t="str">
        <f aca="false">IF(OR(T$598&lt;1,Spells!L108=""),"",Spells!L108&amp;" ("&amp;Spells!M108&amp;")")</f>
        <v/>
      </c>
      <c r="V440" s="174"/>
      <c r="W440" s="174"/>
      <c r="X440" s="274"/>
      <c r="CN440" s="32"/>
      <c r="CO440" s="32"/>
    </row>
    <row r="441" customFormat="false" ht="12.75" hidden="false" customHeight="false" outlineLevel="0" collapsed="false">
      <c r="A441" s="32" t="n">
        <f aca="false">A440+1</f>
        <v>17</v>
      </c>
      <c r="B441" s="268"/>
      <c r="C441" s="67" t="str">
        <f aca="false">IF(OR(T$598&lt;1,Spells!L19=""),"",Spells!L19&amp;" ("&amp;Spells!M19&amp;")")</f>
        <v/>
      </c>
      <c r="D441" s="67"/>
      <c r="E441" s="67"/>
      <c r="F441" s="68"/>
      <c r="G441" s="32" t="n">
        <f aca="false">G440+1</f>
        <v>47</v>
      </c>
      <c r="H441" s="268"/>
      <c r="I441" s="67" t="str">
        <f aca="false">IF(OR(T$598&lt;1,Spells!L49=""),"",Spells!L49&amp;" ("&amp;Spells!M49&amp;")")</f>
        <v/>
      </c>
      <c r="J441" s="67"/>
      <c r="K441" s="67"/>
      <c r="L441" s="68"/>
      <c r="M441" s="32" t="n">
        <f aca="false">M440+1</f>
        <v>77</v>
      </c>
      <c r="N441" s="268"/>
      <c r="O441" s="67" t="str">
        <f aca="false">IF(OR(T$598&lt;1,Spells!L79=""),"",Spells!L79&amp;" ("&amp;Spells!M79&amp;")")</f>
        <v/>
      </c>
      <c r="P441" s="67"/>
      <c r="Q441" s="67"/>
      <c r="R441" s="68"/>
      <c r="S441" s="32" t="n">
        <f aca="false">S440+1</f>
        <v>107</v>
      </c>
      <c r="T441" s="268"/>
      <c r="U441" s="67" t="str">
        <f aca="false">IF(OR(T$598&lt;1,Spells!L109=""),"",Spells!L109&amp;" ("&amp;Spells!M109&amp;")")</f>
        <v/>
      </c>
      <c r="V441" s="67"/>
      <c r="W441" s="67"/>
      <c r="X441" s="68"/>
      <c r="CN441" s="32"/>
      <c r="CO441" s="32"/>
    </row>
    <row r="442" customFormat="false" ht="12.75" hidden="false" customHeight="false" outlineLevel="0" collapsed="false">
      <c r="A442" s="32" t="n">
        <f aca="false">A441+1</f>
        <v>18</v>
      </c>
      <c r="B442" s="268"/>
      <c r="C442" s="67" t="str">
        <f aca="false">IF(OR(T$598&lt;1,Spells!L20=""),"",Spells!L20&amp;" ("&amp;Spells!M20&amp;")")</f>
        <v/>
      </c>
      <c r="D442" s="67"/>
      <c r="E442" s="67"/>
      <c r="F442" s="68"/>
      <c r="G442" s="32" t="n">
        <f aca="false">G441+1</f>
        <v>48</v>
      </c>
      <c r="H442" s="268"/>
      <c r="I442" s="67" t="str">
        <f aca="false">IF(OR(T$598&lt;1,Spells!L50=""),"",Spells!L50&amp;" ("&amp;Spells!M50&amp;")")</f>
        <v/>
      </c>
      <c r="J442" s="67"/>
      <c r="K442" s="67"/>
      <c r="L442" s="68"/>
      <c r="M442" s="32" t="n">
        <f aca="false">M441+1</f>
        <v>78</v>
      </c>
      <c r="N442" s="268"/>
      <c r="O442" s="67" t="str">
        <f aca="false">IF(OR(T$598&lt;1,Spells!L80=""),"",Spells!L80&amp;" ("&amp;Spells!M80&amp;")")</f>
        <v/>
      </c>
      <c r="P442" s="67"/>
      <c r="Q442" s="67"/>
      <c r="R442" s="68"/>
      <c r="S442" s="32" t="n">
        <f aca="false">S441+1</f>
        <v>108</v>
      </c>
      <c r="T442" s="268"/>
      <c r="U442" s="67" t="str">
        <f aca="false">IF(OR(T$598&lt;1,Spells!L110=""),"",Spells!L110&amp;" ("&amp;Spells!M110&amp;")")</f>
        <v/>
      </c>
      <c r="V442" s="67"/>
      <c r="W442" s="67"/>
      <c r="X442" s="68"/>
      <c r="CN442" s="32"/>
      <c r="CO442" s="32"/>
    </row>
    <row r="443" customFormat="false" ht="12.75" hidden="false" customHeight="false" outlineLevel="0" collapsed="false">
      <c r="A443" s="32" t="n">
        <f aca="false">A442+1</f>
        <v>19</v>
      </c>
      <c r="B443" s="268"/>
      <c r="C443" s="67" t="str">
        <f aca="false">IF(OR(T$598&lt;1,Spells!L21=""),"",Spells!L21&amp;" ("&amp;Spells!M21&amp;")")</f>
        <v/>
      </c>
      <c r="D443" s="67"/>
      <c r="E443" s="67"/>
      <c r="F443" s="68"/>
      <c r="G443" s="32" t="n">
        <f aca="false">G442+1</f>
        <v>49</v>
      </c>
      <c r="H443" s="268"/>
      <c r="I443" s="67" t="str">
        <f aca="false">IF(OR(T$598&lt;1,Spells!L51=""),"",Spells!L51&amp;" ("&amp;Spells!M51&amp;")")</f>
        <v/>
      </c>
      <c r="J443" s="67"/>
      <c r="K443" s="67"/>
      <c r="L443" s="68"/>
      <c r="M443" s="32" t="n">
        <f aca="false">M442+1</f>
        <v>79</v>
      </c>
      <c r="N443" s="268"/>
      <c r="O443" s="67" t="str">
        <f aca="false">IF(OR(T$598&lt;1,Spells!L81=""),"",Spells!L81&amp;" ("&amp;Spells!M81&amp;")")</f>
        <v/>
      </c>
      <c r="P443" s="67"/>
      <c r="Q443" s="67"/>
      <c r="R443" s="68"/>
      <c r="S443" s="32" t="n">
        <f aca="false">S442+1</f>
        <v>109</v>
      </c>
      <c r="T443" s="268"/>
      <c r="U443" s="67" t="str">
        <f aca="false">IF(OR(T$598&lt;1,Spells!L111=""),"",Spells!L111&amp;" ("&amp;Spells!M111&amp;")")</f>
        <v/>
      </c>
      <c r="V443" s="67"/>
      <c r="W443" s="67"/>
      <c r="X443" s="68"/>
      <c r="CN443" s="32"/>
      <c r="CO443" s="32"/>
    </row>
    <row r="444" customFormat="false" ht="12.75" hidden="false" customHeight="false" outlineLevel="0" collapsed="false">
      <c r="A444" s="32" t="n">
        <f aca="false">A443+1</f>
        <v>20</v>
      </c>
      <c r="B444" s="268"/>
      <c r="C444" s="67" t="str">
        <f aca="false">IF(OR(T$598&lt;1,Spells!L22=""),"",Spells!L22&amp;" ("&amp;Spells!M22&amp;")")</f>
        <v/>
      </c>
      <c r="D444" s="67"/>
      <c r="E444" s="67"/>
      <c r="F444" s="68"/>
      <c r="G444" s="32" t="n">
        <f aca="false">G443+1</f>
        <v>50</v>
      </c>
      <c r="H444" s="268"/>
      <c r="I444" s="67" t="str">
        <f aca="false">IF(OR(T$598&lt;1,Spells!L52=""),"",Spells!L52&amp;" ("&amp;Spells!M52&amp;")")</f>
        <v/>
      </c>
      <c r="J444" s="67"/>
      <c r="K444" s="67"/>
      <c r="L444" s="68"/>
      <c r="M444" s="32" t="n">
        <f aca="false">M443+1</f>
        <v>80</v>
      </c>
      <c r="N444" s="268"/>
      <c r="O444" s="67" t="str">
        <f aca="false">IF(OR(T$598&lt;1,Spells!L82=""),"",Spells!L82&amp;" ("&amp;Spells!M82&amp;")")</f>
        <v/>
      </c>
      <c r="P444" s="67"/>
      <c r="Q444" s="67"/>
      <c r="R444" s="68"/>
      <c r="S444" s="32" t="n">
        <f aca="false">S443+1</f>
        <v>110</v>
      </c>
      <c r="T444" s="268"/>
      <c r="U444" s="67" t="str">
        <f aca="false">IF(OR(T$598&lt;1,Spells!L112=""),"",Spells!L112&amp;" ("&amp;Spells!M112&amp;")")</f>
        <v/>
      </c>
      <c r="V444" s="67"/>
      <c r="W444" s="67"/>
      <c r="X444" s="68"/>
      <c r="CN444" s="32"/>
      <c r="CO444" s="32"/>
    </row>
    <row r="445" customFormat="false" ht="12.75" hidden="false" customHeight="false" outlineLevel="0" collapsed="false">
      <c r="A445" s="32" t="n">
        <f aca="false">A444+1</f>
        <v>21</v>
      </c>
      <c r="B445" s="268"/>
      <c r="C445" s="67" t="str">
        <f aca="false">IF(OR(T$598&lt;1,Spells!L23=""),"",Spells!L23&amp;" ("&amp;Spells!M23&amp;")")</f>
        <v/>
      </c>
      <c r="D445" s="174"/>
      <c r="E445" s="174"/>
      <c r="F445" s="274"/>
      <c r="G445" s="32" t="n">
        <f aca="false">G444+1</f>
        <v>51</v>
      </c>
      <c r="H445" s="268"/>
      <c r="I445" s="67" t="str">
        <f aca="false">IF(OR(T$598&lt;1,Spells!L53=""),"",Spells!L53&amp;" ("&amp;Spells!M53&amp;")")</f>
        <v/>
      </c>
      <c r="J445" s="174"/>
      <c r="K445" s="174"/>
      <c r="L445" s="274"/>
      <c r="M445" s="32" t="n">
        <f aca="false">M444+1</f>
        <v>81</v>
      </c>
      <c r="N445" s="268"/>
      <c r="O445" s="67" t="str">
        <f aca="false">IF(OR(T$598&lt;1,Spells!L83=""),"",Spells!L83&amp;" ("&amp;Spells!M83&amp;")")</f>
        <v/>
      </c>
      <c r="P445" s="67"/>
      <c r="Q445" s="67"/>
      <c r="R445" s="68"/>
      <c r="S445" s="32" t="n">
        <f aca="false">S444+1</f>
        <v>111</v>
      </c>
      <c r="T445" s="268"/>
      <c r="U445" s="67" t="str">
        <f aca="false">IF(OR(T$598&lt;1,Spells!L113=""),"",Spells!L113&amp;" ("&amp;Spells!M113&amp;")")</f>
        <v/>
      </c>
      <c r="V445" s="67"/>
      <c r="W445" s="67"/>
      <c r="X445" s="68"/>
      <c r="CN445" s="32"/>
      <c r="CO445" s="32"/>
    </row>
    <row r="446" customFormat="false" ht="12.75" hidden="false" customHeight="false" outlineLevel="0" collapsed="false">
      <c r="A446" s="32" t="n">
        <f aca="false">A445+1</f>
        <v>22</v>
      </c>
      <c r="B446" s="268"/>
      <c r="C446" s="67" t="str">
        <f aca="false">IF(OR(T$598&lt;1,Spells!L24=""),"",Spells!L24&amp;" ("&amp;Spells!M24&amp;")")</f>
        <v/>
      </c>
      <c r="D446" s="67"/>
      <c r="E446" s="67"/>
      <c r="F446" s="68"/>
      <c r="G446" s="32" t="n">
        <f aca="false">G445+1</f>
        <v>52</v>
      </c>
      <c r="H446" s="268"/>
      <c r="I446" s="67" t="str">
        <f aca="false">IF(OR(T$598&lt;1,Spells!L54=""),"",Spells!L54&amp;" ("&amp;Spells!M54&amp;")")</f>
        <v/>
      </c>
      <c r="J446" s="67"/>
      <c r="K446" s="67"/>
      <c r="L446" s="68"/>
      <c r="M446" s="32" t="n">
        <f aca="false">M445+1</f>
        <v>82</v>
      </c>
      <c r="N446" s="268"/>
      <c r="O446" s="67" t="str">
        <f aca="false">IF(OR(T$598&lt;1,Spells!L84=""),"",Spells!L84&amp;" ("&amp;Spells!M84&amp;")")</f>
        <v/>
      </c>
      <c r="P446" s="67"/>
      <c r="Q446" s="67"/>
      <c r="R446" s="68"/>
      <c r="S446" s="32" t="n">
        <f aca="false">S445+1</f>
        <v>112</v>
      </c>
      <c r="T446" s="268"/>
      <c r="U446" s="67" t="str">
        <f aca="false">IF(OR(T$598&lt;1,Spells!L114=""),"",Spells!L114&amp;" ("&amp;Spells!M114&amp;")")</f>
        <v/>
      </c>
      <c r="V446" s="67"/>
      <c r="W446" s="67"/>
      <c r="X446" s="68"/>
      <c r="CN446" s="32"/>
      <c r="CO446" s="32"/>
    </row>
    <row r="447" customFormat="false" ht="12.75" hidden="false" customHeight="false" outlineLevel="0" collapsed="false">
      <c r="A447" s="32" t="n">
        <f aca="false">A446+1</f>
        <v>23</v>
      </c>
      <c r="B447" s="268"/>
      <c r="C447" s="67" t="str">
        <f aca="false">IF(OR(T$598&lt;1,Spells!L25=""),"",Spells!L25&amp;" ("&amp;Spells!M25&amp;")")</f>
        <v/>
      </c>
      <c r="D447" s="67"/>
      <c r="E447" s="67"/>
      <c r="F447" s="68"/>
      <c r="G447" s="32" t="n">
        <f aca="false">G446+1</f>
        <v>53</v>
      </c>
      <c r="H447" s="268"/>
      <c r="I447" s="67" t="str">
        <f aca="false">IF(OR(T$598&lt;1,Spells!L55=""),"",Spells!L55&amp;" ("&amp;Spells!M55&amp;")")</f>
        <v/>
      </c>
      <c r="J447" s="67"/>
      <c r="K447" s="67"/>
      <c r="L447" s="68"/>
      <c r="M447" s="32" t="n">
        <f aca="false">M446+1</f>
        <v>83</v>
      </c>
      <c r="N447" s="268"/>
      <c r="O447" s="67" t="str">
        <f aca="false">IF(OR(T$598&lt;1,Spells!L85=""),"",Spells!L85&amp;" ("&amp;Spells!M85&amp;")")</f>
        <v/>
      </c>
      <c r="P447" s="67"/>
      <c r="Q447" s="67"/>
      <c r="R447" s="68"/>
      <c r="S447" s="32" t="n">
        <f aca="false">S446+1</f>
        <v>113</v>
      </c>
      <c r="T447" s="268"/>
      <c r="U447" s="67" t="str">
        <f aca="false">IF(OR(T$598&lt;1,Spells!L115=""),"",Spells!L115&amp;" ("&amp;Spells!M115&amp;")")</f>
        <v/>
      </c>
      <c r="V447" s="67"/>
      <c r="W447" s="67"/>
      <c r="X447" s="68"/>
      <c r="CN447" s="32"/>
      <c r="CO447" s="32"/>
    </row>
    <row r="448" customFormat="false" ht="12.75" hidden="false" customHeight="false" outlineLevel="0" collapsed="false">
      <c r="A448" s="32" t="n">
        <f aca="false">A447+1</f>
        <v>24</v>
      </c>
      <c r="B448" s="268"/>
      <c r="C448" s="67" t="str">
        <f aca="false">IF(OR(T$598&lt;1,Spells!L26=""),"",Spells!L26&amp;" ("&amp;Spells!M26&amp;")")</f>
        <v/>
      </c>
      <c r="D448" s="67"/>
      <c r="E448" s="67"/>
      <c r="F448" s="68"/>
      <c r="G448" s="32" t="n">
        <f aca="false">G447+1</f>
        <v>54</v>
      </c>
      <c r="H448" s="268"/>
      <c r="I448" s="67" t="str">
        <f aca="false">IF(OR(T$598&lt;1,Spells!L56=""),"",Spells!L56&amp;" ("&amp;Spells!M56&amp;")")</f>
        <v/>
      </c>
      <c r="J448" s="67"/>
      <c r="K448" s="67"/>
      <c r="L448" s="68"/>
      <c r="M448" s="32" t="n">
        <f aca="false">M447+1</f>
        <v>84</v>
      </c>
      <c r="N448" s="268"/>
      <c r="O448" s="67" t="str">
        <f aca="false">IF(OR(T$598&lt;1,Spells!L86=""),"",Spells!L86&amp;" ("&amp;Spells!M86&amp;")")</f>
        <v/>
      </c>
      <c r="P448" s="67"/>
      <c r="Q448" s="67"/>
      <c r="R448" s="68"/>
      <c r="S448" s="32" t="n">
        <f aca="false">S447+1</f>
        <v>114</v>
      </c>
      <c r="T448" s="268"/>
      <c r="U448" s="67" t="str">
        <f aca="false">IF(OR(T$598&lt;1,Spells!L116=""),"",Spells!L116&amp;" ("&amp;Spells!M116&amp;")")</f>
        <v/>
      </c>
      <c r="V448" s="67"/>
      <c r="W448" s="67"/>
      <c r="X448" s="68"/>
      <c r="CN448" s="32"/>
      <c r="CO448" s="32"/>
    </row>
    <row r="449" customFormat="false" ht="12.75" hidden="false" customHeight="false" outlineLevel="0" collapsed="false">
      <c r="A449" s="32" t="n">
        <f aca="false">A448+1</f>
        <v>25</v>
      </c>
      <c r="B449" s="268"/>
      <c r="C449" s="67" t="str">
        <f aca="false">IF(OR(T$598&lt;1,Spells!L27=""),"",Spells!L27&amp;" ("&amp;Spells!M27&amp;")")</f>
        <v/>
      </c>
      <c r="D449" s="67"/>
      <c r="E449" s="67"/>
      <c r="F449" s="68"/>
      <c r="G449" s="32" t="n">
        <f aca="false">G448+1</f>
        <v>55</v>
      </c>
      <c r="H449" s="268"/>
      <c r="I449" s="67" t="str">
        <f aca="false">IF(OR(T$598&lt;1,Spells!L57=""),"",Spells!L57&amp;" ("&amp;Spells!M57&amp;")")</f>
        <v/>
      </c>
      <c r="J449" s="67"/>
      <c r="K449" s="67"/>
      <c r="L449" s="68"/>
      <c r="M449" s="32" t="n">
        <f aca="false">M448+1</f>
        <v>85</v>
      </c>
      <c r="N449" s="268"/>
      <c r="O449" s="67" t="str">
        <f aca="false">IF(OR(T$598&lt;1,Spells!L87=""),"",Spells!L87&amp;" ("&amp;Spells!M87&amp;")")</f>
        <v/>
      </c>
      <c r="P449" s="67"/>
      <c r="Q449" s="67"/>
      <c r="R449" s="68"/>
      <c r="S449" s="32" t="n">
        <f aca="false">S448+1</f>
        <v>115</v>
      </c>
      <c r="T449" s="268"/>
      <c r="U449" s="67" t="str">
        <f aca="false">IF(OR(T$598&lt;1,Spells!L117=""),"",Spells!L117&amp;" ("&amp;Spells!M117&amp;")")</f>
        <v/>
      </c>
      <c r="V449" s="67"/>
      <c r="W449" s="67"/>
      <c r="X449" s="68"/>
      <c r="CN449" s="32"/>
      <c r="CO449" s="32"/>
    </row>
    <row r="450" customFormat="false" ht="12.75" hidden="false" customHeight="false" outlineLevel="0" collapsed="false">
      <c r="A450" s="32" t="n">
        <f aca="false">A449+1</f>
        <v>26</v>
      </c>
      <c r="B450" s="268"/>
      <c r="C450" s="67" t="str">
        <f aca="false">IF(OR(T$598&lt;1,Spells!L28=""),"",Spells!L28&amp;" ("&amp;Spells!M28&amp;")")</f>
        <v/>
      </c>
      <c r="D450" s="67"/>
      <c r="E450" s="67"/>
      <c r="F450" s="68"/>
      <c r="G450" s="32" t="n">
        <f aca="false">G449+1</f>
        <v>56</v>
      </c>
      <c r="H450" s="268"/>
      <c r="I450" s="67" t="str">
        <f aca="false">IF(OR(T$598&lt;1,Spells!L58=""),"",Spells!L58&amp;" ("&amp;Spells!M58&amp;")")</f>
        <v/>
      </c>
      <c r="J450" s="67"/>
      <c r="K450" s="67"/>
      <c r="L450" s="68"/>
      <c r="M450" s="32" t="n">
        <f aca="false">M449+1</f>
        <v>86</v>
      </c>
      <c r="N450" s="268"/>
      <c r="O450" s="67" t="str">
        <f aca="false">IF(OR(T$598&lt;1,Spells!L88=""),"",Spells!L88&amp;" ("&amp;Spells!M88&amp;")")</f>
        <v/>
      </c>
      <c r="P450" s="67"/>
      <c r="Q450" s="67"/>
      <c r="R450" s="68"/>
      <c r="S450" s="32" t="n">
        <f aca="false">S449+1</f>
        <v>116</v>
      </c>
      <c r="T450" s="268"/>
      <c r="U450" s="67" t="str">
        <f aca="false">IF(OR(T$598&lt;1,Spells!L118=""),"",Spells!L118&amp;" ("&amp;Spells!M118&amp;")")</f>
        <v/>
      </c>
      <c r="V450" s="67"/>
      <c r="W450" s="67"/>
      <c r="X450" s="68"/>
      <c r="CN450" s="32"/>
      <c r="CO450" s="32"/>
    </row>
    <row r="451" customFormat="false" ht="12.75" hidden="false" customHeight="false" outlineLevel="0" collapsed="false">
      <c r="A451" s="32" t="n">
        <f aca="false">A450+1</f>
        <v>27</v>
      </c>
      <c r="B451" s="268"/>
      <c r="C451" s="67" t="str">
        <f aca="false">IF(OR(T$598&lt;1,Spells!L29=""),"",Spells!L29&amp;" ("&amp;Spells!M29&amp;")")</f>
        <v/>
      </c>
      <c r="D451" s="67"/>
      <c r="E451" s="67"/>
      <c r="F451" s="68"/>
      <c r="G451" s="32" t="n">
        <f aca="false">G450+1</f>
        <v>57</v>
      </c>
      <c r="H451" s="268"/>
      <c r="I451" s="67" t="str">
        <f aca="false">IF(OR(T$598&lt;1,Spells!L59=""),"",Spells!L59&amp;" ("&amp;Spells!M59&amp;")")</f>
        <v/>
      </c>
      <c r="J451" s="67"/>
      <c r="K451" s="67"/>
      <c r="L451" s="68"/>
      <c r="M451" s="32" t="n">
        <f aca="false">M450+1</f>
        <v>87</v>
      </c>
      <c r="N451" s="268"/>
      <c r="O451" s="67" t="str">
        <f aca="false">IF(OR(T$598&lt;1,Spells!L89=""),"",Spells!L89&amp;" ("&amp;Spells!M89&amp;")")</f>
        <v/>
      </c>
      <c r="P451" s="67"/>
      <c r="Q451" s="67"/>
      <c r="R451" s="68"/>
      <c r="S451" s="32" t="n">
        <f aca="false">S450+1</f>
        <v>117</v>
      </c>
      <c r="T451" s="268"/>
      <c r="U451" s="67" t="str">
        <f aca="false">IF(OR(T$598&lt;1,Spells!L119=""),"",Spells!L119&amp;" ("&amp;Spells!M119&amp;")")</f>
        <v/>
      </c>
      <c r="V451" s="67"/>
      <c r="W451" s="67"/>
      <c r="X451" s="68"/>
      <c r="CN451" s="32"/>
      <c r="CO451" s="32"/>
    </row>
    <row r="452" customFormat="false" ht="12.75" hidden="false" customHeight="false" outlineLevel="0" collapsed="false">
      <c r="A452" s="32" t="n">
        <f aca="false">A451+1</f>
        <v>28</v>
      </c>
      <c r="B452" s="268"/>
      <c r="C452" s="67" t="str">
        <f aca="false">IF(OR(T$598&lt;1,Spells!L30=""),"",Spells!L30&amp;" ("&amp;Spells!M30&amp;")")</f>
        <v/>
      </c>
      <c r="D452" s="67"/>
      <c r="E452" s="67"/>
      <c r="F452" s="68"/>
      <c r="G452" s="32" t="n">
        <f aca="false">G451+1</f>
        <v>58</v>
      </c>
      <c r="H452" s="268"/>
      <c r="I452" s="67" t="str">
        <f aca="false">IF(OR(T$598&lt;1,Spells!L60=""),"",Spells!L60&amp;" ("&amp;Spells!M60&amp;")")</f>
        <v/>
      </c>
      <c r="J452" s="67"/>
      <c r="K452" s="67"/>
      <c r="L452" s="68"/>
      <c r="M452" s="32" t="n">
        <f aca="false">M451+1</f>
        <v>88</v>
      </c>
      <c r="N452" s="268"/>
      <c r="O452" s="67" t="str">
        <f aca="false">IF(OR(T$598&lt;1,Spells!L90=""),"",Spells!L90&amp;" ("&amp;Spells!M90&amp;")")</f>
        <v/>
      </c>
      <c r="P452" s="67"/>
      <c r="Q452" s="67"/>
      <c r="R452" s="68"/>
      <c r="S452" s="32" t="n">
        <f aca="false">S451+1</f>
        <v>118</v>
      </c>
      <c r="T452" s="268"/>
      <c r="U452" s="67" t="str">
        <f aca="false">IF(OR(T$598&lt;1,Spells!L120=""),"",Spells!L120&amp;" ("&amp;Spells!M120&amp;")")</f>
        <v/>
      </c>
      <c r="V452" s="67"/>
      <c r="W452" s="67"/>
      <c r="X452" s="68"/>
      <c r="CN452" s="32"/>
      <c r="CO452" s="32"/>
    </row>
    <row r="453" customFormat="false" ht="12.75" hidden="false" customHeight="false" outlineLevel="0" collapsed="false">
      <c r="A453" s="32" t="n">
        <f aca="false">A452+1</f>
        <v>29</v>
      </c>
      <c r="B453" s="268"/>
      <c r="C453" s="67" t="str">
        <f aca="false">IF(OR(T$598&lt;1,Spells!L31=""),"",Spells!L31&amp;" ("&amp;Spells!M31&amp;")")</f>
        <v/>
      </c>
      <c r="D453" s="67"/>
      <c r="E453" s="67"/>
      <c r="F453" s="68"/>
      <c r="G453" s="32" t="n">
        <f aca="false">G452+1</f>
        <v>59</v>
      </c>
      <c r="H453" s="268"/>
      <c r="I453" s="67" t="str">
        <f aca="false">IF(OR(T$598&lt;1,Spells!L61=""),"",Spells!L61&amp;" ("&amp;Spells!M61&amp;")")</f>
        <v/>
      </c>
      <c r="J453" s="67"/>
      <c r="K453" s="67"/>
      <c r="L453" s="68"/>
      <c r="M453" s="32" t="n">
        <f aca="false">M452+1</f>
        <v>89</v>
      </c>
      <c r="N453" s="268"/>
      <c r="O453" s="67" t="str">
        <f aca="false">IF(OR(T$598&lt;1,Spells!L91=""),"",Spells!L91&amp;" ("&amp;Spells!M91&amp;")")</f>
        <v/>
      </c>
      <c r="P453" s="67"/>
      <c r="Q453" s="67"/>
      <c r="R453" s="68"/>
      <c r="S453" s="32" t="n">
        <f aca="false">S452+1</f>
        <v>119</v>
      </c>
      <c r="T453" s="268"/>
      <c r="U453" s="67" t="str">
        <f aca="false">IF(OR(T$598&lt;1,Spells!L121=""),"",Spells!L121&amp;" ("&amp;Spells!M121&amp;")")</f>
        <v/>
      </c>
      <c r="V453" s="67"/>
      <c r="W453" s="67"/>
      <c r="X453" s="68"/>
      <c r="CN453" s="32"/>
      <c r="CO453" s="32"/>
    </row>
    <row r="454" customFormat="false" ht="12.75" hidden="false" customHeight="false" outlineLevel="0" collapsed="false">
      <c r="A454" s="32" t="n">
        <f aca="false">A453+1</f>
        <v>30</v>
      </c>
      <c r="B454" s="268"/>
      <c r="C454" s="67" t="str">
        <f aca="false">IF(OR(T$598&lt;1,Spells!L32=""),"",Spells!L32&amp;" ("&amp;Spells!M32&amp;")")</f>
        <v/>
      </c>
      <c r="D454" s="94"/>
      <c r="E454" s="94"/>
      <c r="F454" s="96"/>
      <c r="G454" s="32" t="n">
        <f aca="false">G453+1</f>
        <v>60</v>
      </c>
      <c r="H454" s="269"/>
      <c r="I454" s="67" t="str">
        <f aca="false">IF(OR(T$598&lt;1,Spells!L62=""),"",Spells!L62&amp;" ("&amp;Spells!M62&amp;")")</f>
        <v/>
      </c>
      <c r="J454" s="94"/>
      <c r="K454" s="94"/>
      <c r="L454" s="96"/>
      <c r="M454" s="32" t="n">
        <f aca="false">M453+1</f>
        <v>90</v>
      </c>
      <c r="N454" s="269"/>
      <c r="O454" s="67" t="str">
        <f aca="false">IF(OR(T$598&lt;1,Spells!L92=""),"",Spells!L92&amp;" ("&amp;Spells!M92&amp;")")</f>
        <v/>
      </c>
      <c r="P454" s="94"/>
      <c r="Q454" s="94"/>
      <c r="R454" s="96"/>
      <c r="S454" s="32" t="n">
        <f aca="false">S453+1</f>
        <v>120</v>
      </c>
      <c r="T454" s="269"/>
      <c r="U454" s="67" t="str">
        <f aca="false">IF(OR(T$598&lt;1,Spells!L122=""),"",Spells!L122&amp;" ("&amp;Spells!M122&amp;")")</f>
        <v/>
      </c>
      <c r="V454" s="94"/>
      <c r="W454" s="94"/>
      <c r="X454" s="96"/>
      <c r="CN454" s="32"/>
      <c r="CO454" s="32"/>
    </row>
    <row r="455" customFormat="false" ht="12.75" hidden="false" customHeight="false" outlineLevel="0" collapsed="false">
      <c r="CN455" s="32"/>
      <c r="CO455" s="32"/>
    </row>
    <row r="456" customFormat="false" ht="12.75" hidden="false" customHeight="false" outlineLevel="0" collapsed="false">
      <c r="B456" s="267" t="s">
        <v>938</v>
      </c>
      <c r="C456" s="51"/>
      <c r="D456" s="51"/>
      <c r="E456" s="51"/>
      <c r="F456" s="52"/>
      <c r="H456" s="267" t="s">
        <v>938</v>
      </c>
      <c r="I456" s="51"/>
      <c r="J456" s="51"/>
      <c r="K456" s="51"/>
      <c r="L456" s="52"/>
      <c r="N456" s="267" t="s">
        <v>938</v>
      </c>
      <c r="O456" s="51"/>
      <c r="P456" s="51"/>
      <c r="Q456" s="51"/>
      <c r="R456" s="52"/>
      <c r="T456" s="267" t="s">
        <v>938</v>
      </c>
      <c r="U456" s="51"/>
      <c r="V456" s="51"/>
      <c r="W456" s="51"/>
      <c r="X456" s="52"/>
      <c r="AA456" s="267" t="s">
        <v>939</v>
      </c>
      <c r="AB456" s="51"/>
      <c r="AC456" s="51"/>
      <c r="AD456" s="51"/>
      <c r="AE456" s="52"/>
      <c r="CN456" s="32"/>
      <c r="CO456" s="32"/>
    </row>
    <row r="457" customFormat="false" ht="12.75" hidden="false" customHeight="false" outlineLevel="0" collapsed="false">
      <c r="A457" s="32" t="n">
        <v>1</v>
      </c>
      <c r="B457" s="268"/>
      <c r="C457" s="67" t="str">
        <f aca="false">IF(OR(T$599&lt;1,Spells!V3=""),"",Spells!V3&amp;" ("&amp;Spells!W3&amp;")")</f>
        <v/>
      </c>
      <c r="D457" s="67"/>
      <c r="E457" s="67"/>
      <c r="F457" s="68"/>
      <c r="G457" s="32" t="n">
        <f aca="false">A486+1</f>
        <v>31</v>
      </c>
      <c r="H457" s="268"/>
      <c r="I457" s="67" t="str">
        <f aca="false">IF(OR(T$599&lt;1,Spells!V33=""),"",Spells!V33&amp;" ("&amp;Spells!W33&amp;")")</f>
        <v/>
      </c>
      <c r="J457" s="67"/>
      <c r="K457" s="67"/>
      <c r="L457" s="68"/>
      <c r="M457" s="32" t="n">
        <f aca="false">G486+1</f>
        <v>61</v>
      </c>
      <c r="N457" s="268"/>
      <c r="O457" s="67" t="str">
        <f aca="false">IF(OR(T$599&lt;1,Spells!V63=""),"",Spells!V63&amp;" ("&amp;Spells!W63&amp;")")</f>
        <v/>
      </c>
      <c r="P457" s="67"/>
      <c r="Q457" s="67"/>
      <c r="R457" s="68"/>
      <c r="S457" s="32" t="n">
        <f aca="false">91</f>
        <v>91</v>
      </c>
      <c r="T457" s="268"/>
      <c r="U457" s="67" t="str">
        <f aca="false">IF(OR(T$599&lt;1,Spells!V93=""),"",Spells!V93&amp;" ("&amp;Spells!W93&amp;")")</f>
        <v/>
      </c>
      <c r="V457" s="67"/>
      <c r="W457" s="67"/>
      <c r="X457" s="68"/>
      <c r="Y457" s="32" t="n">
        <v>121</v>
      </c>
      <c r="AA457" s="268"/>
      <c r="AB457" s="67" t="str">
        <f aca="false">IF(OR(T$599&lt;1,Spells!V123=""),"",Spells!V123&amp;" ("&amp;Spells!W123&amp;")")</f>
        <v/>
      </c>
      <c r="AC457" s="67"/>
      <c r="AD457" s="67"/>
      <c r="AE457" s="68"/>
      <c r="CN457" s="32"/>
      <c r="CO457" s="32"/>
    </row>
    <row r="458" customFormat="false" ht="12.75" hidden="false" customHeight="false" outlineLevel="0" collapsed="false">
      <c r="A458" s="32" t="n">
        <v>2</v>
      </c>
      <c r="B458" s="268"/>
      <c r="C458" s="67" t="str">
        <f aca="false">IF(OR(T$599&lt;1,Spells!V4=""),"",Spells!V4&amp;" ("&amp;Spells!W4&amp;")")</f>
        <v/>
      </c>
      <c r="D458" s="67"/>
      <c r="E458" s="67"/>
      <c r="F458" s="68"/>
      <c r="G458" s="32" t="n">
        <f aca="false">G457+1</f>
        <v>32</v>
      </c>
      <c r="H458" s="268"/>
      <c r="I458" s="67" t="str">
        <f aca="false">IF(OR(T$599&lt;1,Spells!V34=""),"",Spells!V34&amp;" ("&amp;Spells!W34&amp;")")</f>
        <v/>
      </c>
      <c r="J458" s="67"/>
      <c r="K458" s="67"/>
      <c r="L458" s="68"/>
      <c r="M458" s="32" t="n">
        <f aca="false">M457+1</f>
        <v>62</v>
      </c>
      <c r="N458" s="268"/>
      <c r="O458" s="67" t="str">
        <f aca="false">IF(OR(T$599&lt;1,Spells!V64=""),"",Spells!V64&amp;" ("&amp;Spells!W64&amp;")")</f>
        <v/>
      </c>
      <c r="P458" s="67"/>
      <c r="Q458" s="67"/>
      <c r="R458" s="68"/>
      <c r="S458" s="32" t="n">
        <f aca="false">S457+1</f>
        <v>92</v>
      </c>
      <c r="T458" s="268"/>
      <c r="U458" s="67" t="str">
        <f aca="false">IF(OR(T$599&lt;1,Spells!V94=""),"",Spells!V94&amp;" ("&amp;Spells!W94&amp;")")</f>
        <v/>
      </c>
      <c r="V458" s="67"/>
      <c r="W458" s="67"/>
      <c r="X458" s="68"/>
      <c r="Y458" s="32" t="n">
        <v>122</v>
      </c>
      <c r="AA458" s="268"/>
      <c r="AB458" s="67" t="str">
        <f aca="false">IF(OR(T$599&lt;1,Spells!V124=""),"",Spells!V124&amp;" ("&amp;Spells!W124&amp;")")</f>
        <v/>
      </c>
      <c r="AC458" s="67"/>
      <c r="AD458" s="67"/>
      <c r="AE458" s="68"/>
      <c r="CN458" s="32"/>
      <c r="CO458" s="32"/>
    </row>
    <row r="459" customFormat="false" ht="12.75" hidden="false" customHeight="false" outlineLevel="0" collapsed="false">
      <c r="A459" s="32" t="n">
        <f aca="false">A458+1</f>
        <v>3</v>
      </c>
      <c r="B459" s="268"/>
      <c r="C459" s="67" t="str">
        <f aca="false">IF(OR(T$599&lt;1,Spells!V5=""),"",Spells!V5&amp;" ("&amp;Spells!W5&amp;")")</f>
        <v/>
      </c>
      <c r="D459" s="67"/>
      <c r="E459" s="67"/>
      <c r="F459" s="68"/>
      <c r="G459" s="32" t="n">
        <f aca="false">G458+1</f>
        <v>33</v>
      </c>
      <c r="H459" s="268"/>
      <c r="I459" s="67" t="str">
        <f aca="false">IF(OR(T$599&lt;1,Spells!V35=""),"",Spells!V35&amp;" ("&amp;Spells!W35&amp;")")</f>
        <v/>
      </c>
      <c r="J459" s="67"/>
      <c r="K459" s="67"/>
      <c r="L459" s="68"/>
      <c r="M459" s="32" t="n">
        <f aca="false">M458+1</f>
        <v>63</v>
      </c>
      <c r="N459" s="268"/>
      <c r="O459" s="67" t="str">
        <f aca="false">IF(OR(T$599&lt;1,Spells!V65=""),"",Spells!V65&amp;" ("&amp;Spells!W65&amp;")")</f>
        <v/>
      </c>
      <c r="P459" s="67"/>
      <c r="Q459" s="67"/>
      <c r="R459" s="68"/>
      <c r="S459" s="32" t="n">
        <f aca="false">S458+1</f>
        <v>93</v>
      </c>
      <c r="T459" s="268"/>
      <c r="U459" s="67" t="str">
        <f aca="false">IF(OR(T$599&lt;1,Spells!V95=""),"",Spells!V95&amp;" ("&amp;Spells!W95&amp;")")</f>
        <v/>
      </c>
      <c r="V459" s="67"/>
      <c r="W459" s="67"/>
      <c r="X459" s="68"/>
      <c r="Y459" s="32" t="n">
        <v>123</v>
      </c>
      <c r="AA459" s="268"/>
      <c r="AB459" s="67" t="str">
        <f aca="false">IF(OR(T$599&lt;1,Spells!V125=""),"",Spells!V125&amp;" ("&amp;Spells!W125&amp;")")</f>
        <v/>
      </c>
      <c r="AC459" s="67"/>
      <c r="AD459" s="67"/>
      <c r="AE459" s="68"/>
      <c r="CN459" s="32"/>
      <c r="CO459" s="32"/>
    </row>
    <row r="460" customFormat="false" ht="12.75" hidden="false" customHeight="false" outlineLevel="0" collapsed="false">
      <c r="A460" s="32" t="n">
        <f aca="false">A459+1</f>
        <v>4</v>
      </c>
      <c r="B460" s="268"/>
      <c r="C460" s="67" t="str">
        <f aca="false">IF(OR(T$599&lt;1,Spells!V6=""),"",Spells!V6&amp;" ("&amp;Spells!W6&amp;")")</f>
        <v/>
      </c>
      <c r="D460" s="67"/>
      <c r="E460" s="67"/>
      <c r="F460" s="68"/>
      <c r="G460" s="32" t="n">
        <f aca="false">G459+1</f>
        <v>34</v>
      </c>
      <c r="H460" s="268"/>
      <c r="I460" s="67" t="str">
        <f aca="false">IF(OR(T$599&lt;1,Spells!V36=""),"",Spells!V36&amp;" ("&amp;Spells!W36&amp;")")</f>
        <v/>
      </c>
      <c r="J460" s="67"/>
      <c r="K460" s="67"/>
      <c r="L460" s="68"/>
      <c r="M460" s="32" t="n">
        <f aca="false">M459+1</f>
        <v>64</v>
      </c>
      <c r="N460" s="268"/>
      <c r="O460" s="67" t="str">
        <f aca="false">IF(OR(T$599&lt;1,Spells!V66=""),"",Spells!V66&amp;" ("&amp;Spells!W66&amp;")")</f>
        <v/>
      </c>
      <c r="P460" s="67"/>
      <c r="Q460" s="67"/>
      <c r="R460" s="68"/>
      <c r="S460" s="32" t="n">
        <f aca="false">S459+1</f>
        <v>94</v>
      </c>
      <c r="T460" s="268"/>
      <c r="U460" s="67" t="str">
        <f aca="false">IF(OR(T$599&lt;1,Spells!V96=""),"",Spells!V96&amp;" ("&amp;Spells!W96&amp;")")</f>
        <v/>
      </c>
      <c r="V460" s="67"/>
      <c r="W460" s="67"/>
      <c r="X460" s="68"/>
      <c r="Y460" s="56" t="n">
        <v>124</v>
      </c>
      <c r="Z460" s="56"/>
      <c r="AA460" s="268"/>
      <c r="AB460" s="67" t="str">
        <f aca="false">IF(OR(T$599&lt;1,Spells!V126=""),"",Spells!V126&amp;" ("&amp;Spells!W126&amp;")")</f>
        <v/>
      </c>
      <c r="AC460" s="67"/>
      <c r="AD460" s="67"/>
      <c r="AE460" s="68"/>
      <c r="CN460" s="32"/>
      <c r="CO460" s="32"/>
    </row>
    <row r="461" customFormat="false" ht="12.75" hidden="false" customHeight="false" outlineLevel="0" collapsed="false">
      <c r="A461" s="32" t="n">
        <f aca="false">A460+1</f>
        <v>5</v>
      </c>
      <c r="B461" s="268"/>
      <c r="C461" s="67" t="str">
        <f aca="false">IF(OR(T$599&lt;1,Spells!V7=""),"",Spells!V7&amp;" ("&amp;Spells!W7&amp;")")</f>
        <v/>
      </c>
      <c r="D461" s="67"/>
      <c r="E461" s="67"/>
      <c r="F461" s="68"/>
      <c r="G461" s="32" t="n">
        <f aca="false">G460+1</f>
        <v>35</v>
      </c>
      <c r="H461" s="268"/>
      <c r="I461" s="67" t="str">
        <f aca="false">IF(OR(T$599&lt;1,Spells!V37=""),"",Spells!V37&amp;" ("&amp;Spells!W37&amp;")")</f>
        <v/>
      </c>
      <c r="J461" s="67"/>
      <c r="K461" s="67"/>
      <c r="L461" s="68"/>
      <c r="M461" s="32" t="n">
        <f aca="false">M460+1</f>
        <v>65</v>
      </c>
      <c r="N461" s="268"/>
      <c r="O461" s="67" t="str">
        <f aca="false">IF(OR(T$599&lt;1,Spells!V67=""),"",Spells!V67&amp;" ("&amp;Spells!W67&amp;")")</f>
        <v/>
      </c>
      <c r="P461" s="67"/>
      <c r="Q461" s="67"/>
      <c r="R461" s="68"/>
      <c r="S461" s="32" t="n">
        <f aca="false">S460+1</f>
        <v>95</v>
      </c>
      <c r="T461" s="268"/>
      <c r="U461" s="67" t="str">
        <f aca="false">IF(OR(T$599&lt;1,Spells!V97=""),"",Spells!V97&amp;" ("&amp;Spells!W97&amp;")")</f>
        <v/>
      </c>
      <c r="V461" s="67"/>
      <c r="W461" s="67"/>
      <c r="X461" s="68"/>
      <c r="Y461" s="56" t="n">
        <v>125</v>
      </c>
      <c r="Z461" s="56"/>
      <c r="AA461" s="268"/>
      <c r="AB461" s="67" t="str">
        <f aca="false">IF(OR(T$599&lt;1,Spells!V127=""),"",Spells!V127&amp;" ("&amp;Spells!W127&amp;")")</f>
        <v/>
      </c>
      <c r="AC461" s="67"/>
      <c r="AD461" s="67"/>
      <c r="AE461" s="68"/>
      <c r="CN461" s="32"/>
      <c r="CO461" s="32"/>
    </row>
    <row r="462" customFormat="false" ht="12.75" hidden="false" customHeight="false" outlineLevel="0" collapsed="false">
      <c r="A462" s="32" t="n">
        <f aca="false">A461+1</f>
        <v>6</v>
      </c>
      <c r="B462" s="268"/>
      <c r="C462" s="67" t="str">
        <f aca="false">IF(OR(T$599&lt;1,Spells!V8=""),"",Spells!V8&amp;" ("&amp;Spells!W8&amp;")")</f>
        <v/>
      </c>
      <c r="D462" s="67"/>
      <c r="E462" s="67"/>
      <c r="F462" s="68"/>
      <c r="G462" s="32" t="n">
        <f aca="false">G461+1</f>
        <v>36</v>
      </c>
      <c r="H462" s="268"/>
      <c r="I462" s="67" t="str">
        <f aca="false">IF(OR(T$599&lt;1,Spells!V38=""),"",Spells!V38&amp;" ("&amp;Spells!W38&amp;")")</f>
        <v/>
      </c>
      <c r="J462" s="67"/>
      <c r="K462" s="67"/>
      <c r="L462" s="68"/>
      <c r="M462" s="32" t="n">
        <f aca="false">M461+1</f>
        <v>66</v>
      </c>
      <c r="N462" s="268"/>
      <c r="O462" s="67" t="str">
        <f aca="false">IF(OR(T$599&lt;1,Spells!V68=""),"",Spells!V68&amp;" ("&amp;Spells!W68&amp;")")</f>
        <v/>
      </c>
      <c r="P462" s="67"/>
      <c r="Q462" s="67"/>
      <c r="R462" s="68"/>
      <c r="S462" s="32" t="n">
        <f aca="false">S461+1</f>
        <v>96</v>
      </c>
      <c r="T462" s="268"/>
      <c r="U462" s="67" t="str">
        <f aca="false">IF(OR(T$599&lt;1,Spells!V98=""),"",Spells!V98&amp;" ("&amp;Spells!W98&amp;")")</f>
        <v/>
      </c>
      <c r="V462" s="67"/>
      <c r="W462" s="67"/>
      <c r="X462" s="68"/>
      <c r="Y462" s="56" t="n">
        <v>126</v>
      </c>
      <c r="Z462" s="56"/>
      <c r="AA462" s="268"/>
      <c r="AB462" s="67" t="str">
        <f aca="false">IF(OR(T$599&lt;1,Spells!V128=""),"",Spells!V128&amp;" ("&amp;Spells!W128&amp;")")</f>
        <v/>
      </c>
      <c r="AC462" s="67"/>
      <c r="AD462" s="67"/>
      <c r="AE462" s="68"/>
      <c r="CN462" s="32"/>
      <c r="CO462" s="32"/>
    </row>
    <row r="463" customFormat="false" ht="12.75" hidden="false" customHeight="false" outlineLevel="0" collapsed="false">
      <c r="A463" s="32" t="n">
        <f aca="false">A462+1</f>
        <v>7</v>
      </c>
      <c r="B463" s="268"/>
      <c r="C463" s="67" t="str">
        <f aca="false">IF(OR(T$599&lt;1,Spells!V9=""),"",Spells!V9&amp;" ("&amp;Spells!W9&amp;")")</f>
        <v/>
      </c>
      <c r="D463" s="67"/>
      <c r="E463" s="67"/>
      <c r="F463" s="68"/>
      <c r="G463" s="32" t="n">
        <f aca="false">G462+1</f>
        <v>37</v>
      </c>
      <c r="H463" s="268"/>
      <c r="I463" s="67" t="str">
        <f aca="false">IF(OR(T$599&lt;1,Spells!V39=""),"",Spells!V39&amp;" ("&amp;Spells!W39&amp;")")</f>
        <v/>
      </c>
      <c r="J463" s="67"/>
      <c r="K463" s="67"/>
      <c r="L463" s="68"/>
      <c r="M463" s="32" t="n">
        <f aca="false">M462+1</f>
        <v>67</v>
      </c>
      <c r="N463" s="268"/>
      <c r="O463" s="67" t="str">
        <f aca="false">IF(OR(T$599&lt;1,Spells!V69=""),"",Spells!V69&amp;" ("&amp;Spells!W69&amp;")")</f>
        <v/>
      </c>
      <c r="P463" s="67"/>
      <c r="Q463" s="67"/>
      <c r="R463" s="68"/>
      <c r="S463" s="32" t="n">
        <f aca="false">S462+1</f>
        <v>97</v>
      </c>
      <c r="T463" s="268"/>
      <c r="U463" s="67" t="str">
        <f aca="false">IF(OR(T$599&lt;1,Spells!V99=""),"",Spells!V99&amp;" ("&amp;Spells!W99&amp;")")</f>
        <v/>
      </c>
      <c r="V463" s="67"/>
      <c r="W463" s="67"/>
      <c r="X463" s="68"/>
      <c r="Y463" s="56" t="n">
        <v>127</v>
      </c>
      <c r="Z463" s="56"/>
      <c r="AA463" s="268"/>
      <c r="AB463" s="67" t="str">
        <f aca="false">IF(OR(T$599&lt;1,Spells!V129=""),"",Spells!V129&amp;" ("&amp;Spells!W129&amp;")")</f>
        <v/>
      </c>
      <c r="AC463" s="67"/>
      <c r="AD463" s="67"/>
      <c r="AE463" s="68"/>
      <c r="CN463" s="32"/>
      <c r="CO463" s="32"/>
    </row>
    <row r="464" customFormat="false" ht="12.75" hidden="false" customHeight="false" outlineLevel="0" collapsed="false">
      <c r="A464" s="32" t="n">
        <f aca="false">A463+1</f>
        <v>8</v>
      </c>
      <c r="B464" s="268"/>
      <c r="C464" s="67" t="str">
        <f aca="false">IF(OR(T$599&lt;1,Spells!V10=""),"",Spells!V10&amp;" ("&amp;Spells!W10&amp;")")</f>
        <v/>
      </c>
      <c r="D464" s="67"/>
      <c r="E464" s="67"/>
      <c r="F464" s="68"/>
      <c r="G464" s="32" t="n">
        <f aca="false">G463+1</f>
        <v>38</v>
      </c>
      <c r="H464" s="268"/>
      <c r="I464" s="67" t="str">
        <f aca="false">IF(OR(T$599&lt;1,Spells!V40=""),"",Spells!V40&amp;" ("&amp;Spells!W40&amp;")")</f>
        <v/>
      </c>
      <c r="J464" s="67"/>
      <c r="K464" s="67"/>
      <c r="L464" s="68"/>
      <c r="M464" s="32" t="n">
        <f aca="false">M463+1</f>
        <v>68</v>
      </c>
      <c r="N464" s="268"/>
      <c r="O464" s="67" t="str">
        <f aca="false">IF(OR(T$599&lt;1,Spells!V70=""),"",Spells!V70&amp;" ("&amp;Spells!W70&amp;")")</f>
        <v/>
      </c>
      <c r="P464" s="67"/>
      <c r="Q464" s="67"/>
      <c r="R464" s="68"/>
      <c r="S464" s="32" t="n">
        <f aca="false">S463+1</f>
        <v>98</v>
      </c>
      <c r="T464" s="268"/>
      <c r="U464" s="67" t="str">
        <f aca="false">IF(OR(T$599&lt;1,Spells!V100=""),"",Spells!V100&amp;" ("&amp;Spells!W100&amp;")")</f>
        <v/>
      </c>
      <c r="V464" s="67"/>
      <c r="W464" s="67"/>
      <c r="X464" s="68"/>
      <c r="Y464" s="56" t="n">
        <v>128</v>
      </c>
      <c r="Z464" s="56"/>
      <c r="AA464" s="269"/>
      <c r="AB464" s="94" t="str">
        <f aca="false">IF(OR(T$599&lt;1,Spells!V130=""),"",Spells!V130&amp;" ("&amp;Spells!W130&amp;")")</f>
        <v/>
      </c>
      <c r="AC464" s="94"/>
      <c r="AD464" s="94"/>
      <c r="AE464" s="96"/>
      <c r="CN464" s="32"/>
      <c r="CO464" s="32"/>
    </row>
    <row r="465" customFormat="false" ht="12.75" hidden="false" customHeight="false" outlineLevel="0" collapsed="false">
      <c r="A465" s="32" t="n">
        <f aca="false">A464+1</f>
        <v>9</v>
      </c>
      <c r="B465" s="268"/>
      <c r="C465" s="67" t="str">
        <f aca="false">IF(OR(T$599&lt;1,Spells!V11=""),"",Spells!V11&amp;" ("&amp;Spells!W11&amp;")")</f>
        <v/>
      </c>
      <c r="D465" s="67"/>
      <c r="E465" s="67"/>
      <c r="F465" s="68"/>
      <c r="G465" s="32" t="n">
        <f aca="false">G464+1</f>
        <v>39</v>
      </c>
      <c r="H465" s="268"/>
      <c r="I465" s="67" t="str">
        <f aca="false">IF(OR(T$599&lt;1,Spells!V41=""),"",Spells!V41&amp;" ("&amp;Spells!W41&amp;")")</f>
        <v/>
      </c>
      <c r="J465" s="67"/>
      <c r="K465" s="67"/>
      <c r="L465" s="68"/>
      <c r="M465" s="32" t="n">
        <f aca="false">M464+1</f>
        <v>69</v>
      </c>
      <c r="N465" s="268"/>
      <c r="O465" s="67" t="str">
        <f aca="false">IF(OR(T$599&lt;1,Spells!V71=""),"",Spells!V71&amp;" ("&amp;Spells!W71&amp;")")</f>
        <v/>
      </c>
      <c r="P465" s="67"/>
      <c r="Q465" s="67"/>
      <c r="R465" s="68"/>
      <c r="S465" s="32" t="n">
        <f aca="false">S464+1</f>
        <v>99</v>
      </c>
      <c r="T465" s="268"/>
      <c r="U465" s="67" t="str">
        <f aca="false">IF(OR(T$599&lt;1,Spells!V101=""),"",Spells!V101&amp;" ("&amp;Spells!W101&amp;")")</f>
        <v/>
      </c>
      <c r="V465" s="67"/>
      <c r="W465" s="67"/>
      <c r="X465" s="68"/>
      <c r="CN465" s="32"/>
      <c r="CO465" s="32"/>
    </row>
    <row r="466" customFormat="false" ht="12.75" hidden="false" customHeight="false" outlineLevel="0" collapsed="false">
      <c r="A466" s="32" t="n">
        <f aca="false">A465+1</f>
        <v>10</v>
      </c>
      <c r="B466" s="268"/>
      <c r="C466" s="67" t="str">
        <f aca="false">IF(OR(T$599&lt;1,Spells!V12=""),"",Spells!V12&amp;" ("&amp;Spells!W12&amp;")")</f>
        <v/>
      </c>
      <c r="D466" s="67"/>
      <c r="E466" s="67"/>
      <c r="F466" s="68"/>
      <c r="G466" s="32" t="n">
        <f aca="false">G465+1</f>
        <v>40</v>
      </c>
      <c r="H466" s="268"/>
      <c r="I466" s="67" t="str">
        <f aca="false">IF(OR(T$599&lt;1,Spells!V42=""),"",Spells!V42&amp;" ("&amp;Spells!W42&amp;")")</f>
        <v/>
      </c>
      <c r="J466" s="67"/>
      <c r="K466" s="67"/>
      <c r="L466" s="68"/>
      <c r="M466" s="32" t="n">
        <f aca="false">M465+1</f>
        <v>70</v>
      </c>
      <c r="N466" s="268"/>
      <c r="O466" s="67" t="str">
        <f aca="false">IF(OR(T$599&lt;1,Spells!V72=""),"",Spells!V72&amp;" ("&amp;Spells!W72&amp;")")</f>
        <v/>
      </c>
      <c r="P466" s="67"/>
      <c r="Q466" s="67"/>
      <c r="R466" s="68"/>
      <c r="S466" s="32" t="n">
        <f aca="false">S465+1</f>
        <v>100</v>
      </c>
      <c r="T466" s="268"/>
      <c r="U466" s="67" t="str">
        <f aca="false">IF(OR(T$599&lt;1,Spells!V102=""),"",Spells!V102&amp;" ("&amp;Spells!W102&amp;")")</f>
        <v/>
      </c>
      <c r="V466" s="67"/>
      <c r="W466" s="67"/>
      <c r="X466" s="68"/>
      <c r="CN466" s="32"/>
      <c r="CO466" s="32"/>
    </row>
    <row r="467" customFormat="false" ht="12.75" hidden="false" customHeight="false" outlineLevel="0" collapsed="false">
      <c r="A467" s="32" t="n">
        <f aca="false">A466+1</f>
        <v>11</v>
      </c>
      <c r="B467" s="268"/>
      <c r="C467" s="67" t="str">
        <f aca="false">IF(OR(T$599&lt;1,Spells!V13=""),"",Spells!V13&amp;" ("&amp;Spells!W13&amp;")")</f>
        <v/>
      </c>
      <c r="D467" s="67"/>
      <c r="E467" s="67"/>
      <c r="F467" s="68"/>
      <c r="G467" s="32" t="n">
        <f aca="false">G466+1</f>
        <v>41</v>
      </c>
      <c r="H467" s="268"/>
      <c r="I467" s="67" t="str">
        <f aca="false">IF(OR(T$599&lt;1,Spells!V43=""),"",Spells!V43&amp;" ("&amp;Spells!W43&amp;")")</f>
        <v/>
      </c>
      <c r="J467" s="67"/>
      <c r="K467" s="67"/>
      <c r="L467" s="68"/>
      <c r="M467" s="32" t="n">
        <f aca="false">M466+1</f>
        <v>71</v>
      </c>
      <c r="N467" s="268"/>
      <c r="O467" s="67" t="str">
        <f aca="false">IF(OR(T$599&lt;1,Spells!V73=""),"",Spells!V73&amp;" ("&amp;Spells!W73&amp;")")</f>
        <v/>
      </c>
      <c r="P467" s="67"/>
      <c r="Q467" s="67"/>
      <c r="R467" s="68"/>
      <c r="S467" s="32" t="n">
        <f aca="false">S466+1</f>
        <v>101</v>
      </c>
      <c r="T467" s="268"/>
      <c r="U467" s="67" t="str">
        <f aca="false">IF(OR(T$599&lt;1,Spells!V103=""),"",Spells!V103&amp;" ("&amp;Spells!W103&amp;")")</f>
        <v/>
      </c>
      <c r="V467" s="67"/>
      <c r="W467" s="67"/>
      <c r="X467" s="68"/>
      <c r="CN467" s="32"/>
      <c r="CO467" s="32"/>
    </row>
    <row r="468" customFormat="false" ht="12.75" hidden="false" customHeight="false" outlineLevel="0" collapsed="false">
      <c r="A468" s="32" t="n">
        <f aca="false">A467+1</f>
        <v>12</v>
      </c>
      <c r="B468" s="268"/>
      <c r="C468" s="67" t="str">
        <f aca="false">IF(OR(T$599&lt;1,Spells!V14=""),"",Spells!V14&amp;" ("&amp;Spells!W14&amp;")")</f>
        <v/>
      </c>
      <c r="D468" s="67"/>
      <c r="E468" s="67"/>
      <c r="F468" s="68"/>
      <c r="G468" s="32" t="n">
        <f aca="false">G467+1</f>
        <v>42</v>
      </c>
      <c r="H468" s="268"/>
      <c r="I468" s="67" t="str">
        <f aca="false">IF(OR(T$599&lt;1,Spells!V44=""),"",Spells!V44&amp;" ("&amp;Spells!W44&amp;")")</f>
        <v/>
      </c>
      <c r="J468" s="67"/>
      <c r="K468" s="67"/>
      <c r="L468" s="68"/>
      <c r="M468" s="32" t="n">
        <f aca="false">M467+1</f>
        <v>72</v>
      </c>
      <c r="N468" s="268"/>
      <c r="O468" s="67" t="str">
        <f aca="false">IF(OR(T$599&lt;1,Spells!V74=""),"",Spells!V74&amp;" ("&amp;Spells!W74&amp;")")</f>
        <v/>
      </c>
      <c r="P468" s="67"/>
      <c r="Q468" s="67"/>
      <c r="R468" s="68"/>
      <c r="S468" s="32" t="n">
        <f aca="false">S467+1</f>
        <v>102</v>
      </c>
      <c r="T468" s="268"/>
      <c r="U468" s="67" t="str">
        <f aca="false">IF(OR(T$599&lt;1,Spells!V104=""),"",Spells!V104&amp;" ("&amp;Spells!W104&amp;")")</f>
        <v/>
      </c>
      <c r="V468" s="67"/>
      <c r="W468" s="67"/>
      <c r="X468" s="68"/>
      <c r="CN468" s="32"/>
      <c r="CO468" s="32"/>
    </row>
    <row r="469" customFormat="false" ht="12.75" hidden="false" customHeight="false" outlineLevel="0" collapsed="false">
      <c r="A469" s="32" t="n">
        <f aca="false">A468+1</f>
        <v>13</v>
      </c>
      <c r="B469" s="268"/>
      <c r="C469" s="67" t="str">
        <f aca="false">IF(OR(T$599&lt;1,Spells!V15=""),"",Spells!V15&amp;" ("&amp;Spells!W15&amp;")")</f>
        <v/>
      </c>
      <c r="D469" s="67"/>
      <c r="E469" s="67"/>
      <c r="F469" s="68"/>
      <c r="G469" s="32" t="n">
        <f aca="false">G468+1</f>
        <v>43</v>
      </c>
      <c r="H469" s="268"/>
      <c r="I469" s="67" t="str">
        <f aca="false">IF(OR(T$599&lt;1,Spells!V45=""),"",Spells!V45&amp;" ("&amp;Spells!W45&amp;")")</f>
        <v/>
      </c>
      <c r="J469" s="67"/>
      <c r="K469" s="67"/>
      <c r="L469" s="68"/>
      <c r="M469" s="32" t="n">
        <f aca="false">M468+1</f>
        <v>73</v>
      </c>
      <c r="N469" s="268"/>
      <c r="O469" s="67" t="str">
        <f aca="false">IF(OR(T$599&lt;1,Spells!V75=""),"",Spells!V75&amp;" ("&amp;Spells!W75&amp;")")</f>
        <v/>
      </c>
      <c r="P469" s="67"/>
      <c r="Q469" s="67"/>
      <c r="R469" s="68"/>
      <c r="S469" s="32" t="n">
        <f aca="false">S468+1</f>
        <v>103</v>
      </c>
      <c r="T469" s="268"/>
      <c r="U469" s="67" t="str">
        <f aca="false">IF(OR(T$599&lt;1,Spells!V105=""),"",Spells!V105&amp;" ("&amp;Spells!W105&amp;")")</f>
        <v/>
      </c>
      <c r="V469" s="67"/>
      <c r="W469" s="67"/>
      <c r="X469" s="68"/>
      <c r="CN469" s="32"/>
      <c r="CO469" s="32"/>
    </row>
    <row r="470" customFormat="false" ht="12.75" hidden="false" customHeight="false" outlineLevel="0" collapsed="false">
      <c r="A470" s="32" t="n">
        <f aca="false">A469+1</f>
        <v>14</v>
      </c>
      <c r="B470" s="268"/>
      <c r="C470" s="67" t="str">
        <f aca="false">IF(OR(T$599&lt;1,Spells!V16=""),"",Spells!V16&amp;" ("&amp;Spells!W16&amp;")")</f>
        <v/>
      </c>
      <c r="D470" s="67"/>
      <c r="E470" s="67"/>
      <c r="F470" s="68"/>
      <c r="G470" s="32" t="n">
        <f aca="false">G469+1</f>
        <v>44</v>
      </c>
      <c r="H470" s="268"/>
      <c r="I470" s="67" t="str">
        <f aca="false">IF(OR(T$599&lt;1,Spells!V46=""),"",Spells!V46&amp;" ("&amp;Spells!W46&amp;")")</f>
        <v/>
      </c>
      <c r="J470" s="67"/>
      <c r="K470" s="67"/>
      <c r="L470" s="68"/>
      <c r="M470" s="32" t="n">
        <f aca="false">M469+1</f>
        <v>74</v>
      </c>
      <c r="N470" s="268"/>
      <c r="O470" s="67" t="str">
        <f aca="false">IF(OR(T$599&lt;1,Spells!V76=""),"",Spells!V76&amp;" ("&amp;Spells!W76&amp;")")</f>
        <v/>
      </c>
      <c r="P470" s="67"/>
      <c r="Q470" s="67"/>
      <c r="R470" s="68"/>
      <c r="S470" s="32" t="n">
        <f aca="false">S469+1</f>
        <v>104</v>
      </c>
      <c r="T470" s="268"/>
      <c r="U470" s="67" t="str">
        <f aca="false">IF(OR(T$599&lt;1,Spells!V106=""),"",Spells!V106&amp;" ("&amp;Spells!W106&amp;")")</f>
        <v/>
      </c>
      <c r="V470" s="67"/>
      <c r="W470" s="67"/>
      <c r="X470" s="68"/>
      <c r="CN470" s="32"/>
      <c r="CO470" s="32"/>
    </row>
    <row r="471" customFormat="false" ht="12.75" hidden="false" customHeight="false" outlineLevel="0" collapsed="false">
      <c r="A471" s="32" t="n">
        <f aca="false">A470+1</f>
        <v>15</v>
      </c>
      <c r="B471" s="268"/>
      <c r="C471" s="67" t="str">
        <f aca="false">IF(OR(T$599&lt;1,Spells!V17=""),"",Spells!V17&amp;" ("&amp;Spells!W17&amp;")")</f>
        <v/>
      </c>
      <c r="D471" s="67"/>
      <c r="E471" s="67"/>
      <c r="F471" s="68"/>
      <c r="G471" s="32" t="n">
        <f aca="false">G470+1</f>
        <v>45</v>
      </c>
      <c r="H471" s="268"/>
      <c r="I471" s="67" t="str">
        <f aca="false">IF(OR(T$599&lt;1,Spells!V47=""),"",Spells!V47&amp;" ("&amp;Spells!W47&amp;")")</f>
        <v/>
      </c>
      <c r="J471" s="67"/>
      <c r="K471" s="67"/>
      <c r="L471" s="68"/>
      <c r="M471" s="32" t="n">
        <f aca="false">M470+1</f>
        <v>75</v>
      </c>
      <c r="N471" s="268"/>
      <c r="O471" s="67" t="str">
        <f aca="false">IF(OR(T$599&lt;1,Spells!V77=""),"",Spells!V77&amp;" ("&amp;Spells!W77&amp;")")</f>
        <v/>
      </c>
      <c r="P471" s="67"/>
      <c r="Q471" s="67"/>
      <c r="R471" s="68"/>
      <c r="S471" s="32" t="n">
        <f aca="false">S470+1</f>
        <v>105</v>
      </c>
      <c r="T471" s="268"/>
      <c r="U471" s="67" t="str">
        <f aca="false">IF(OR(T$599&lt;1,Spells!V107=""),"",Spells!V107&amp;" ("&amp;Spells!W107&amp;")")</f>
        <v/>
      </c>
      <c r="V471" s="67"/>
      <c r="W471" s="67"/>
      <c r="X471" s="68"/>
      <c r="CN471" s="32"/>
      <c r="CO471" s="32"/>
    </row>
    <row r="472" customFormat="false" ht="12.75" hidden="false" customHeight="false" outlineLevel="0" collapsed="false">
      <c r="A472" s="32" t="n">
        <f aca="false">A471+1</f>
        <v>16</v>
      </c>
      <c r="B472" s="268"/>
      <c r="C472" s="67" t="str">
        <f aca="false">IF(OR(T$599&lt;1,Spells!V18=""),"",Spells!V18&amp;" ("&amp;Spells!W18&amp;")")</f>
        <v/>
      </c>
      <c r="D472" s="67"/>
      <c r="E472" s="67"/>
      <c r="F472" s="68"/>
      <c r="G472" s="32" t="n">
        <f aca="false">G471+1</f>
        <v>46</v>
      </c>
      <c r="H472" s="268"/>
      <c r="I472" s="67" t="str">
        <f aca="false">IF(OR(T$599&lt;1,Spells!V48=""),"",Spells!V48&amp;" ("&amp;Spells!W48&amp;")")</f>
        <v/>
      </c>
      <c r="J472" s="67"/>
      <c r="K472" s="67"/>
      <c r="L472" s="68"/>
      <c r="M472" s="32" t="n">
        <f aca="false">M471+1</f>
        <v>76</v>
      </c>
      <c r="N472" s="268"/>
      <c r="O472" s="67" t="str">
        <f aca="false">IF(OR(T$599&lt;1,Spells!V78=""),"",Spells!V78&amp;" ("&amp;Spells!W78&amp;")")</f>
        <v/>
      </c>
      <c r="P472" s="67"/>
      <c r="Q472" s="67"/>
      <c r="R472" s="68"/>
      <c r="S472" s="32" t="n">
        <f aca="false">S471+1</f>
        <v>106</v>
      </c>
      <c r="T472" s="268"/>
      <c r="U472" s="67" t="str">
        <f aca="false">IF(OR(T$599&lt;1,Spells!V108=""),"",Spells!V108&amp;" ("&amp;Spells!W108&amp;")")</f>
        <v/>
      </c>
      <c r="V472" s="67"/>
      <c r="W472" s="67"/>
      <c r="X472" s="68"/>
      <c r="CN472" s="32"/>
      <c r="CO472" s="32"/>
    </row>
    <row r="473" customFormat="false" ht="12.75" hidden="false" customHeight="false" outlineLevel="0" collapsed="false">
      <c r="A473" s="32" t="n">
        <f aca="false">A472+1</f>
        <v>17</v>
      </c>
      <c r="B473" s="268"/>
      <c r="C473" s="67" t="str">
        <f aca="false">IF(OR(T$599&lt;1,Spells!V19=""),"",Spells!V19&amp;" ("&amp;Spells!W19&amp;")")</f>
        <v/>
      </c>
      <c r="D473" s="67"/>
      <c r="E473" s="67"/>
      <c r="F473" s="68"/>
      <c r="G473" s="32" t="n">
        <f aca="false">G472+1</f>
        <v>47</v>
      </c>
      <c r="H473" s="268"/>
      <c r="I473" s="67" t="str">
        <f aca="false">IF(OR(T$599&lt;1,Spells!V49=""),"",Spells!V49&amp;" ("&amp;Spells!W49&amp;")")</f>
        <v/>
      </c>
      <c r="J473" s="67"/>
      <c r="K473" s="67"/>
      <c r="L473" s="68"/>
      <c r="M473" s="32" t="n">
        <f aca="false">M472+1</f>
        <v>77</v>
      </c>
      <c r="N473" s="268"/>
      <c r="O473" s="67" t="str">
        <f aca="false">IF(OR(T$599&lt;1,Spells!V79=""),"",Spells!V79&amp;" ("&amp;Spells!W79&amp;")")</f>
        <v/>
      </c>
      <c r="P473" s="67"/>
      <c r="Q473" s="67"/>
      <c r="R473" s="68"/>
      <c r="S473" s="32" t="n">
        <f aca="false">S472+1</f>
        <v>107</v>
      </c>
      <c r="T473" s="268"/>
      <c r="U473" s="67" t="str">
        <f aca="false">IF(OR(T$599&lt;1,Spells!V109=""),"",Spells!V109&amp;" ("&amp;Spells!W109&amp;")")</f>
        <v/>
      </c>
      <c r="V473" s="67"/>
      <c r="W473" s="67"/>
      <c r="X473" s="68"/>
      <c r="CN473" s="32"/>
      <c r="CO473" s="32"/>
    </row>
    <row r="474" customFormat="false" ht="12.75" hidden="false" customHeight="false" outlineLevel="0" collapsed="false">
      <c r="A474" s="32" t="n">
        <f aca="false">A473+1</f>
        <v>18</v>
      </c>
      <c r="B474" s="268"/>
      <c r="C474" s="67" t="str">
        <f aca="false">IF(OR(T$599&lt;1,Spells!V20=""),"",Spells!V20&amp;" ("&amp;Spells!W20&amp;")")</f>
        <v/>
      </c>
      <c r="D474" s="67"/>
      <c r="E474" s="67"/>
      <c r="F474" s="68"/>
      <c r="G474" s="32" t="n">
        <f aca="false">G473+1</f>
        <v>48</v>
      </c>
      <c r="H474" s="268"/>
      <c r="I474" s="67" t="str">
        <f aca="false">IF(OR(T$599&lt;1,Spells!V50=""),"",Spells!V50&amp;" ("&amp;Spells!W50&amp;")")</f>
        <v/>
      </c>
      <c r="J474" s="67"/>
      <c r="K474" s="67"/>
      <c r="L474" s="68"/>
      <c r="M474" s="32" t="n">
        <f aca="false">M473+1</f>
        <v>78</v>
      </c>
      <c r="N474" s="268"/>
      <c r="O474" s="67" t="str">
        <f aca="false">IF(OR(T$599&lt;1,Spells!V80=""),"",Spells!V80&amp;" ("&amp;Spells!W80&amp;")")</f>
        <v/>
      </c>
      <c r="P474" s="67"/>
      <c r="Q474" s="67"/>
      <c r="R474" s="68"/>
      <c r="S474" s="32" t="n">
        <f aca="false">S473+1</f>
        <v>108</v>
      </c>
      <c r="T474" s="268"/>
      <c r="U474" s="67" t="str">
        <f aca="false">IF(OR(T$599&lt;1,Spells!V110=""),"",Spells!V110&amp;" ("&amp;Spells!W110&amp;")")</f>
        <v/>
      </c>
      <c r="V474" s="67"/>
      <c r="W474" s="67"/>
      <c r="X474" s="68"/>
      <c r="CN474" s="32"/>
      <c r="CO474" s="32"/>
    </row>
    <row r="475" customFormat="false" ht="12.75" hidden="false" customHeight="false" outlineLevel="0" collapsed="false">
      <c r="A475" s="32" t="n">
        <f aca="false">A474+1</f>
        <v>19</v>
      </c>
      <c r="B475" s="268"/>
      <c r="C475" s="67" t="str">
        <f aca="false">IF(OR(T$599&lt;1,Spells!V21=""),"",Spells!V21&amp;" ("&amp;Spells!W21&amp;")")</f>
        <v/>
      </c>
      <c r="D475" s="67"/>
      <c r="E475" s="67"/>
      <c r="F475" s="68"/>
      <c r="G475" s="32" t="n">
        <f aca="false">G474+1</f>
        <v>49</v>
      </c>
      <c r="H475" s="268"/>
      <c r="I475" s="67" t="str">
        <f aca="false">IF(OR(T$599&lt;1,Spells!V51=""),"",Spells!V51&amp;" ("&amp;Spells!W51&amp;")")</f>
        <v/>
      </c>
      <c r="J475" s="67"/>
      <c r="K475" s="67"/>
      <c r="L475" s="68"/>
      <c r="M475" s="32" t="n">
        <f aca="false">M474+1</f>
        <v>79</v>
      </c>
      <c r="N475" s="268"/>
      <c r="O475" s="67" t="str">
        <f aca="false">IF(OR(T$599&lt;1,Spells!V81=""),"",Spells!V81&amp;" ("&amp;Spells!W81&amp;")")</f>
        <v/>
      </c>
      <c r="P475" s="67"/>
      <c r="Q475" s="67"/>
      <c r="R475" s="68"/>
      <c r="S475" s="32" t="n">
        <f aca="false">S474+1</f>
        <v>109</v>
      </c>
      <c r="T475" s="268"/>
      <c r="U475" s="67" t="str">
        <f aca="false">IF(OR(T$599&lt;1,Spells!V111=""),"",Spells!V111&amp;" ("&amp;Spells!W111&amp;")")</f>
        <v/>
      </c>
      <c r="V475" s="67"/>
      <c r="W475" s="67"/>
      <c r="X475" s="68"/>
      <c r="CN475" s="32"/>
      <c r="CO475" s="32"/>
    </row>
    <row r="476" customFormat="false" ht="12.75" hidden="false" customHeight="false" outlineLevel="0" collapsed="false">
      <c r="A476" s="32" t="n">
        <f aca="false">A475+1</f>
        <v>20</v>
      </c>
      <c r="B476" s="268"/>
      <c r="C476" s="67" t="str">
        <f aca="false">IF(OR(T$599&lt;1,Spells!V22=""),"",Spells!V22&amp;" ("&amp;Spells!W22&amp;")")</f>
        <v/>
      </c>
      <c r="D476" s="67"/>
      <c r="E476" s="67"/>
      <c r="F476" s="68"/>
      <c r="G476" s="32" t="n">
        <f aca="false">G475+1</f>
        <v>50</v>
      </c>
      <c r="H476" s="268"/>
      <c r="I476" s="67" t="str">
        <f aca="false">IF(OR(T$599&lt;1,Spells!V52=""),"",Spells!V52&amp;" ("&amp;Spells!W52&amp;")")</f>
        <v/>
      </c>
      <c r="J476" s="67"/>
      <c r="K476" s="67"/>
      <c r="L476" s="68"/>
      <c r="M476" s="32" t="n">
        <f aca="false">M475+1</f>
        <v>80</v>
      </c>
      <c r="N476" s="268"/>
      <c r="O476" s="67" t="str">
        <f aca="false">IF(OR(T$599&lt;1,Spells!V82=""),"",Spells!V82&amp;" ("&amp;Spells!W82&amp;")")</f>
        <v/>
      </c>
      <c r="P476" s="67"/>
      <c r="Q476" s="67"/>
      <c r="R476" s="68"/>
      <c r="S476" s="32" t="n">
        <f aca="false">S475+1</f>
        <v>110</v>
      </c>
      <c r="T476" s="268"/>
      <c r="U476" s="67" t="str">
        <f aca="false">IF(OR(T$599&lt;1,Spells!V112=""),"",Spells!V112&amp;" ("&amp;Spells!W112&amp;")")</f>
        <v/>
      </c>
      <c r="V476" s="67"/>
      <c r="W476" s="67"/>
      <c r="X476" s="68"/>
      <c r="CN476" s="32"/>
      <c r="CO476" s="32"/>
    </row>
    <row r="477" customFormat="false" ht="12.75" hidden="false" customHeight="false" outlineLevel="0" collapsed="false">
      <c r="A477" s="32" t="n">
        <f aca="false">A476+1</f>
        <v>21</v>
      </c>
      <c r="B477" s="268"/>
      <c r="C477" s="67" t="str">
        <f aca="false">IF(OR(T$599&lt;1,Spells!V23=""),"",Spells!V23&amp;" ("&amp;Spells!W23&amp;")")</f>
        <v/>
      </c>
      <c r="D477" s="67"/>
      <c r="E477" s="67"/>
      <c r="F477" s="68"/>
      <c r="G477" s="32" t="n">
        <f aca="false">G476+1</f>
        <v>51</v>
      </c>
      <c r="H477" s="268"/>
      <c r="I477" s="67" t="str">
        <f aca="false">IF(OR(T$599&lt;1,Spells!V53=""),"",Spells!V53&amp;" ("&amp;Spells!W53&amp;")")</f>
        <v/>
      </c>
      <c r="J477" s="67"/>
      <c r="K477" s="67"/>
      <c r="L477" s="68"/>
      <c r="M477" s="32" t="n">
        <f aca="false">M476+1</f>
        <v>81</v>
      </c>
      <c r="N477" s="268"/>
      <c r="O477" s="67" t="str">
        <f aca="false">IF(OR(T$599&lt;1,Spells!V83=""),"",Spells!V83&amp;" ("&amp;Spells!W83&amp;")")</f>
        <v/>
      </c>
      <c r="P477" s="67"/>
      <c r="Q477" s="67"/>
      <c r="R477" s="68"/>
      <c r="S477" s="32" t="n">
        <f aca="false">S476+1</f>
        <v>111</v>
      </c>
      <c r="T477" s="268"/>
      <c r="U477" s="67" t="str">
        <f aca="false">IF(OR(T$599&lt;1,Spells!V113=""),"",Spells!V113&amp;" ("&amp;Spells!W113&amp;")")</f>
        <v/>
      </c>
      <c r="V477" s="67"/>
      <c r="W477" s="67"/>
      <c r="X477" s="68"/>
      <c r="CN477" s="32"/>
      <c r="CO477" s="32"/>
    </row>
    <row r="478" customFormat="false" ht="12.75" hidden="false" customHeight="false" outlineLevel="0" collapsed="false">
      <c r="A478" s="32" t="n">
        <f aca="false">A477+1</f>
        <v>22</v>
      </c>
      <c r="B478" s="268"/>
      <c r="C478" s="67" t="str">
        <f aca="false">IF(OR(T$599&lt;1,Spells!V24=""),"",Spells!V24&amp;" ("&amp;Spells!W24&amp;")")</f>
        <v/>
      </c>
      <c r="D478" s="67"/>
      <c r="E478" s="67"/>
      <c r="F478" s="68"/>
      <c r="G478" s="32" t="n">
        <f aca="false">G477+1</f>
        <v>52</v>
      </c>
      <c r="H478" s="268"/>
      <c r="I478" s="67" t="str">
        <f aca="false">IF(OR(T$599&lt;1,Spells!V54=""),"",Spells!V54&amp;" ("&amp;Spells!W54&amp;")")</f>
        <v/>
      </c>
      <c r="J478" s="67"/>
      <c r="K478" s="67"/>
      <c r="L478" s="68"/>
      <c r="M478" s="32" t="n">
        <f aca="false">M477+1</f>
        <v>82</v>
      </c>
      <c r="N478" s="268"/>
      <c r="O478" s="67" t="str">
        <f aca="false">IF(OR(T$599&lt;1,Spells!V84=""),"",Spells!V84&amp;" ("&amp;Spells!W84&amp;")")</f>
        <v/>
      </c>
      <c r="P478" s="67"/>
      <c r="Q478" s="67"/>
      <c r="R478" s="68"/>
      <c r="S478" s="32" t="n">
        <f aca="false">S477+1</f>
        <v>112</v>
      </c>
      <c r="T478" s="268"/>
      <c r="U478" s="67" t="str">
        <f aca="false">IF(OR(T$599&lt;1,Spells!V114=""),"",Spells!V114&amp;" ("&amp;Spells!W114&amp;")")</f>
        <v/>
      </c>
      <c r="V478" s="67"/>
      <c r="W478" s="67"/>
      <c r="X478" s="68"/>
      <c r="CN478" s="32"/>
      <c r="CO478" s="32"/>
    </row>
    <row r="479" customFormat="false" ht="12.75" hidden="false" customHeight="false" outlineLevel="0" collapsed="false">
      <c r="A479" s="32" t="n">
        <f aca="false">A478+1</f>
        <v>23</v>
      </c>
      <c r="B479" s="268"/>
      <c r="C479" s="67" t="str">
        <f aca="false">IF(OR(T$599&lt;1,Spells!V25=""),"",Spells!V25&amp;" ("&amp;Spells!W25&amp;")")</f>
        <v/>
      </c>
      <c r="D479" s="67"/>
      <c r="E479" s="67"/>
      <c r="F479" s="68"/>
      <c r="G479" s="32" t="n">
        <f aca="false">G478+1</f>
        <v>53</v>
      </c>
      <c r="H479" s="268"/>
      <c r="I479" s="67" t="str">
        <f aca="false">IF(OR(T$599&lt;1,Spells!V55=""),"",Spells!V55&amp;" ("&amp;Spells!W55&amp;")")</f>
        <v/>
      </c>
      <c r="J479" s="67"/>
      <c r="K479" s="67"/>
      <c r="L479" s="68"/>
      <c r="M479" s="32" t="n">
        <f aca="false">M478+1</f>
        <v>83</v>
      </c>
      <c r="N479" s="268"/>
      <c r="O479" s="67" t="str">
        <f aca="false">IF(OR(T$599&lt;1,Spells!V85=""),"",Spells!V85&amp;" ("&amp;Spells!W85&amp;")")</f>
        <v/>
      </c>
      <c r="P479" s="67"/>
      <c r="Q479" s="67"/>
      <c r="R479" s="68"/>
      <c r="S479" s="32" t="n">
        <f aca="false">S478+1</f>
        <v>113</v>
      </c>
      <c r="T479" s="268"/>
      <c r="U479" s="67" t="str">
        <f aca="false">IF(OR(T$599&lt;1,Spells!V115=""),"",Spells!V115&amp;" ("&amp;Spells!W115&amp;")")</f>
        <v/>
      </c>
      <c r="V479" s="67"/>
      <c r="W479" s="67"/>
      <c r="X479" s="68"/>
      <c r="CN479" s="32"/>
      <c r="CO479" s="32"/>
    </row>
    <row r="480" customFormat="false" ht="12.75" hidden="false" customHeight="false" outlineLevel="0" collapsed="false">
      <c r="A480" s="32" t="n">
        <f aca="false">A479+1</f>
        <v>24</v>
      </c>
      <c r="B480" s="268"/>
      <c r="C480" s="67" t="str">
        <f aca="false">IF(OR(T$599&lt;1,Spells!V27=""),"",Spells!V27&amp;" ("&amp;Spells!W27&amp;")")</f>
        <v/>
      </c>
      <c r="D480" s="67"/>
      <c r="E480" s="67"/>
      <c r="F480" s="68"/>
      <c r="G480" s="32" t="n">
        <f aca="false">G479+1</f>
        <v>54</v>
      </c>
      <c r="H480" s="268"/>
      <c r="I480" s="67" t="str">
        <f aca="false">IF(OR(T$599&lt;1,Spells!V56=""),"",Spells!V56&amp;" ("&amp;Spells!W56&amp;")")</f>
        <v/>
      </c>
      <c r="J480" s="67"/>
      <c r="K480" s="67"/>
      <c r="L480" s="68"/>
      <c r="M480" s="32" t="n">
        <f aca="false">M479+1</f>
        <v>84</v>
      </c>
      <c r="N480" s="268"/>
      <c r="O480" s="67" t="str">
        <f aca="false">IF(OR(T$599&lt;1,Spells!V86=""),"",Spells!V86&amp;" ("&amp;Spells!W86&amp;")")</f>
        <v/>
      </c>
      <c r="P480" s="67"/>
      <c r="Q480" s="67"/>
      <c r="R480" s="68"/>
      <c r="S480" s="32" t="n">
        <f aca="false">S479+1</f>
        <v>114</v>
      </c>
      <c r="T480" s="268"/>
      <c r="U480" s="67" t="str">
        <f aca="false">IF(OR(T$599&lt;1,Spells!V116=""),"",Spells!V116&amp;" ("&amp;Spells!W116&amp;")")</f>
        <v/>
      </c>
      <c r="V480" s="67"/>
      <c r="W480" s="67"/>
      <c r="X480" s="68"/>
      <c r="CN480" s="32"/>
      <c r="CO480" s="32"/>
    </row>
    <row r="481" customFormat="false" ht="12.75" hidden="false" customHeight="false" outlineLevel="0" collapsed="false">
      <c r="A481" s="32" t="n">
        <f aca="false">A480+1</f>
        <v>25</v>
      </c>
      <c r="B481" s="268"/>
      <c r="C481" s="67" t="str">
        <f aca="false">IF(OR(T$599&lt;1,Spells!V28=""),"",Spells!V28&amp;" ("&amp;Spells!W28&amp;")")</f>
        <v/>
      </c>
      <c r="D481" s="67"/>
      <c r="E481" s="67"/>
      <c r="F481" s="68"/>
      <c r="G481" s="32" t="n">
        <f aca="false">G480+1</f>
        <v>55</v>
      </c>
      <c r="H481" s="268"/>
      <c r="I481" s="67" t="str">
        <f aca="false">IF(OR(T$599&lt;1,Spells!V57=""),"",Spells!V57&amp;" ("&amp;Spells!W57&amp;")")</f>
        <v/>
      </c>
      <c r="J481" s="67"/>
      <c r="K481" s="67"/>
      <c r="L481" s="68"/>
      <c r="M481" s="32" t="n">
        <f aca="false">M480+1</f>
        <v>85</v>
      </c>
      <c r="N481" s="268"/>
      <c r="O481" s="67" t="str">
        <f aca="false">IF(OR(T$599&lt;1,Spells!V87=""),"",Spells!V87&amp;" ("&amp;Spells!W87&amp;")")</f>
        <v/>
      </c>
      <c r="P481" s="67"/>
      <c r="Q481" s="67"/>
      <c r="R481" s="68"/>
      <c r="S481" s="32" t="n">
        <f aca="false">S480+1</f>
        <v>115</v>
      </c>
      <c r="T481" s="268"/>
      <c r="U481" s="67" t="str">
        <f aca="false">IF(OR(T$599&lt;1,Spells!V117=""),"",Spells!V117&amp;" ("&amp;Spells!W117&amp;")")</f>
        <v/>
      </c>
      <c r="V481" s="67"/>
      <c r="W481" s="67"/>
      <c r="X481" s="68"/>
      <c r="CN481" s="32"/>
      <c r="CO481" s="32"/>
    </row>
    <row r="482" customFormat="false" ht="12.75" hidden="false" customHeight="false" outlineLevel="0" collapsed="false">
      <c r="A482" s="32" t="n">
        <f aca="false">A481+1</f>
        <v>26</v>
      </c>
      <c r="B482" s="268"/>
      <c r="C482" s="67" t="str">
        <f aca="false">IF(OR(T$599&lt;1,Spells!V28=""),"",Spells!V28&amp;" ("&amp;Spells!W28&amp;")")</f>
        <v/>
      </c>
      <c r="D482" s="67"/>
      <c r="E482" s="67"/>
      <c r="F482" s="68"/>
      <c r="G482" s="32" t="n">
        <f aca="false">G481+1</f>
        <v>56</v>
      </c>
      <c r="H482" s="268"/>
      <c r="I482" s="67" t="str">
        <f aca="false">IF(OR(T$599&lt;1,Spells!V58=""),"",Spells!V58&amp;" ("&amp;Spells!W58&amp;")")</f>
        <v/>
      </c>
      <c r="J482" s="67"/>
      <c r="K482" s="67"/>
      <c r="L482" s="68"/>
      <c r="M482" s="32" t="n">
        <f aca="false">M481+1</f>
        <v>86</v>
      </c>
      <c r="N482" s="268"/>
      <c r="O482" s="67" t="str">
        <f aca="false">IF(OR(T$599&lt;1,Spells!V88=""),"",Spells!V88&amp;" ("&amp;Spells!W88&amp;")")</f>
        <v/>
      </c>
      <c r="P482" s="67"/>
      <c r="Q482" s="67"/>
      <c r="R482" s="68"/>
      <c r="S482" s="32" t="n">
        <f aca="false">S481+1</f>
        <v>116</v>
      </c>
      <c r="T482" s="268"/>
      <c r="U482" s="67" t="str">
        <f aca="false">IF(OR(T$599&lt;1,Spells!V118=""),"",Spells!V118&amp;" ("&amp;Spells!W118&amp;")")</f>
        <v/>
      </c>
      <c r="V482" s="67"/>
      <c r="W482" s="67"/>
      <c r="X482" s="68"/>
      <c r="CN482" s="32"/>
      <c r="CO482" s="32"/>
    </row>
    <row r="483" customFormat="false" ht="12.75" hidden="false" customHeight="false" outlineLevel="0" collapsed="false">
      <c r="A483" s="32" t="n">
        <f aca="false">A482+1</f>
        <v>27</v>
      </c>
      <c r="B483" s="268"/>
      <c r="C483" s="67" t="str">
        <f aca="false">IF(OR(T$599&lt;1,Spells!V29=""),"",Spells!V29&amp;" ("&amp;Spells!W29&amp;")")</f>
        <v/>
      </c>
      <c r="D483" s="67"/>
      <c r="E483" s="67"/>
      <c r="F483" s="68"/>
      <c r="G483" s="32" t="n">
        <f aca="false">G482+1</f>
        <v>57</v>
      </c>
      <c r="H483" s="268"/>
      <c r="I483" s="67" t="str">
        <f aca="false">IF(OR(T$599&lt;1,Spells!V59=""),"",Spells!V59&amp;" ("&amp;Spells!W59&amp;")")</f>
        <v/>
      </c>
      <c r="J483" s="67"/>
      <c r="K483" s="67"/>
      <c r="L483" s="68"/>
      <c r="M483" s="32" t="n">
        <f aca="false">M482+1</f>
        <v>87</v>
      </c>
      <c r="N483" s="268"/>
      <c r="O483" s="67" t="str">
        <f aca="false">IF(OR(T$599&lt;1,Spells!V89=""),"",Spells!V89&amp;" ("&amp;Spells!W89&amp;")")</f>
        <v/>
      </c>
      <c r="P483" s="67"/>
      <c r="Q483" s="67"/>
      <c r="R483" s="68"/>
      <c r="S483" s="32" t="n">
        <f aca="false">S482+1</f>
        <v>117</v>
      </c>
      <c r="T483" s="268"/>
      <c r="U483" s="67" t="str">
        <f aca="false">IF(OR(T$599&lt;1,Spells!V119=""),"",Spells!V119&amp;" ("&amp;Spells!W119&amp;")")</f>
        <v/>
      </c>
      <c r="V483" s="67"/>
      <c r="W483" s="67"/>
      <c r="X483" s="68"/>
      <c r="CN483" s="32"/>
      <c r="CO483" s="32"/>
    </row>
    <row r="484" customFormat="false" ht="12.75" hidden="false" customHeight="false" outlineLevel="0" collapsed="false">
      <c r="A484" s="32" t="n">
        <f aca="false">A483+1</f>
        <v>28</v>
      </c>
      <c r="B484" s="268"/>
      <c r="C484" s="67" t="str">
        <f aca="false">IF(OR(T$599&lt;1,Spells!V30=""),"",Spells!V30&amp;" ("&amp;Spells!W30&amp;")")</f>
        <v/>
      </c>
      <c r="D484" s="67"/>
      <c r="E484" s="67"/>
      <c r="F484" s="68"/>
      <c r="G484" s="32" t="n">
        <f aca="false">G483+1</f>
        <v>58</v>
      </c>
      <c r="H484" s="268"/>
      <c r="I484" s="67" t="str">
        <f aca="false">IF(OR(T$599&lt;1,Spells!V60=""),"",Spells!V60&amp;" ("&amp;Spells!W60&amp;")")</f>
        <v/>
      </c>
      <c r="J484" s="67"/>
      <c r="K484" s="67"/>
      <c r="L484" s="68"/>
      <c r="M484" s="32" t="n">
        <f aca="false">M483+1</f>
        <v>88</v>
      </c>
      <c r="N484" s="268"/>
      <c r="O484" s="67" t="str">
        <f aca="false">IF(OR(T$599&lt;1,Spells!V90=""),"",Spells!V90&amp;" ("&amp;Spells!W90&amp;")")</f>
        <v/>
      </c>
      <c r="P484" s="67"/>
      <c r="Q484" s="67"/>
      <c r="R484" s="68"/>
      <c r="S484" s="32" t="n">
        <f aca="false">S483+1</f>
        <v>118</v>
      </c>
      <c r="T484" s="268"/>
      <c r="U484" s="67" t="str">
        <f aca="false">IF(OR(T$599&lt;1,Spells!V120=""),"",Spells!V120&amp;" ("&amp;Spells!W120&amp;")")</f>
        <v/>
      </c>
      <c r="V484" s="67"/>
      <c r="W484" s="67"/>
      <c r="X484" s="68"/>
      <c r="CN484" s="32"/>
      <c r="CO484" s="32"/>
    </row>
    <row r="485" customFormat="false" ht="12.75" hidden="false" customHeight="false" outlineLevel="0" collapsed="false">
      <c r="A485" s="32" t="n">
        <f aca="false">A484+1</f>
        <v>29</v>
      </c>
      <c r="B485" s="268"/>
      <c r="C485" s="67" t="str">
        <f aca="false">IF(OR(T$599&lt;1,Spells!V31=""),"",Spells!V31&amp;" ("&amp;Spells!W31&amp;")")</f>
        <v/>
      </c>
      <c r="D485" s="67"/>
      <c r="E485" s="67"/>
      <c r="F485" s="68"/>
      <c r="G485" s="32" t="n">
        <f aca="false">G484+1</f>
        <v>59</v>
      </c>
      <c r="H485" s="268"/>
      <c r="I485" s="67" t="str">
        <f aca="false">IF(OR(T$599&lt;1,Spells!V61=""),"",Spells!V61&amp;" ("&amp;Spells!W61&amp;")")</f>
        <v/>
      </c>
      <c r="J485" s="67"/>
      <c r="K485" s="67"/>
      <c r="L485" s="68"/>
      <c r="M485" s="32" t="n">
        <f aca="false">M484+1</f>
        <v>89</v>
      </c>
      <c r="N485" s="268"/>
      <c r="O485" s="67" t="str">
        <f aca="false">IF(OR(T$599&lt;1,Spells!V91=""),"",Spells!V91&amp;" ("&amp;Spells!W91&amp;")")</f>
        <v/>
      </c>
      <c r="P485" s="67"/>
      <c r="Q485" s="67"/>
      <c r="R485" s="68"/>
      <c r="S485" s="32" t="n">
        <f aca="false">S484+1</f>
        <v>119</v>
      </c>
      <c r="T485" s="268"/>
      <c r="U485" s="67" t="str">
        <f aca="false">IF(OR(T$599&lt;1,Spells!V121=""),"",Spells!V121&amp;" ("&amp;Spells!W121&amp;")")</f>
        <v/>
      </c>
      <c r="V485" s="67"/>
      <c r="W485" s="67"/>
      <c r="X485" s="68"/>
      <c r="CN485" s="32"/>
      <c r="CO485" s="32"/>
    </row>
    <row r="486" customFormat="false" ht="12.75" hidden="false" customHeight="false" outlineLevel="0" collapsed="false">
      <c r="A486" s="32" t="n">
        <f aca="false">A485+1</f>
        <v>30</v>
      </c>
      <c r="B486" s="269"/>
      <c r="C486" s="94" t="str">
        <f aca="false">IF(OR(T$599&lt;1,Spells!V32=""),"",Spells!V32&amp;" ("&amp;Spells!W32&amp;")")</f>
        <v/>
      </c>
      <c r="D486" s="94"/>
      <c r="E486" s="94"/>
      <c r="F486" s="96"/>
      <c r="G486" s="32" t="n">
        <f aca="false">G485+1</f>
        <v>60</v>
      </c>
      <c r="H486" s="269"/>
      <c r="I486" s="94" t="str">
        <f aca="false">IF(OR(T$599&lt;1,Spells!V62=""),"",Spells!V62&amp;" ("&amp;Spells!W62&amp;")")</f>
        <v/>
      </c>
      <c r="J486" s="94"/>
      <c r="K486" s="94"/>
      <c r="L486" s="96"/>
      <c r="M486" s="32" t="n">
        <f aca="false">M485+1</f>
        <v>90</v>
      </c>
      <c r="N486" s="269"/>
      <c r="O486" s="94" t="str">
        <f aca="false">IF(OR(T$599&lt;1,Spells!V92=""),"",Spells!V92&amp;" ("&amp;Spells!W92&amp;")")</f>
        <v/>
      </c>
      <c r="P486" s="94"/>
      <c r="Q486" s="94"/>
      <c r="R486" s="96"/>
      <c r="S486" s="32" t="n">
        <f aca="false">S485+1</f>
        <v>120</v>
      </c>
      <c r="T486" s="269"/>
      <c r="U486" s="94" t="str">
        <f aca="false">IF(OR(T$599&lt;1,Spells!V122=""),"",Spells!V122&amp;" ("&amp;Spells!W122&amp;")")</f>
        <v/>
      </c>
      <c r="V486" s="94"/>
      <c r="W486" s="94"/>
      <c r="X486" s="96"/>
      <c r="CN486" s="32"/>
      <c r="CO486" s="32"/>
    </row>
    <row r="487" customFormat="false" ht="12.75" hidden="false" customHeight="false" outlineLevel="0" collapsed="false">
      <c r="CN487" s="32"/>
      <c r="CO487" s="32"/>
    </row>
    <row r="488" customFormat="false" ht="12.75" hidden="false" customHeight="false" outlineLevel="0" collapsed="false">
      <c r="B488" s="267" t="s">
        <v>940</v>
      </c>
      <c r="C488" s="51"/>
      <c r="D488" s="51"/>
      <c r="E488" s="51"/>
      <c r="F488" s="52"/>
      <c r="H488" s="267" t="s">
        <v>940</v>
      </c>
      <c r="I488" s="51"/>
      <c r="J488" s="51"/>
      <c r="K488" s="51"/>
      <c r="L488" s="52"/>
      <c r="N488" s="267" t="s">
        <v>940</v>
      </c>
      <c r="O488" s="51"/>
      <c r="P488" s="51"/>
      <c r="Q488" s="51"/>
      <c r="R488" s="52"/>
      <c r="T488" s="267" t="s">
        <v>940</v>
      </c>
      <c r="U488" s="51"/>
      <c r="V488" s="51"/>
      <c r="W488" s="51"/>
      <c r="X488" s="52"/>
      <c r="AA488" s="267" t="s">
        <v>940</v>
      </c>
      <c r="AB488" s="51"/>
      <c r="AC488" s="51"/>
      <c r="AD488" s="51"/>
      <c r="AE488" s="52"/>
      <c r="CN488" s="32"/>
      <c r="CO488" s="32"/>
    </row>
    <row r="489" customFormat="false" ht="12.75" hidden="false" customHeight="false" outlineLevel="0" collapsed="false">
      <c r="A489" s="32" t="n">
        <v>1</v>
      </c>
      <c r="B489" s="268"/>
      <c r="C489" s="67" t="str">
        <f aca="false">IF(OR(T$600&lt;1,Spells!AF3=""),"",Spells!AF3&amp;" ("&amp;Spells!AG3&amp;")")</f>
        <v/>
      </c>
      <c r="D489" s="67"/>
      <c r="E489" s="67"/>
      <c r="F489" s="68"/>
      <c r="G489" s="32" t="n">
        <f aca="false">A518+1</f>
        <v>31</v>
      </c>
      <c r="H489" s="268"/>
      <c r="I489" s="67" t="str">
        <f aca="false">IF(OR(T$600&lt;1,Spells!AF33=""),"",Spells!AF33&amp;" ("&amp;Spells!AG33&amp;")")</f>
        <v/>
      </c>
      <c r="J489" s="67"/>
      <c r="K489" s="67"/>
      <c r="L489" s="68"/>
      <c r="M489" s="32" t="n">
        <f aca="false">G518+1</f>
        <v>61</v>
      </c>
      <c r="N489" s="268"/>
      <c r="O489" s="67" t="str">
        <f aca="false">IF(OR(T$600&lt;1,Spells!AF64=""),"",Spells!AF64&amp;" ("&amp;Spells!AG64&amp;")")</f>
        <v/>
      </c>
      <c r="P489" s="67"/>
      <c r="Q489" s="67"/>
      <c r="R489" s="68"/>
      <c r="S489" s="32" t="n">
        <f aca="false">91</f>
        <v>91</v>
      </c>
      <c r="T489" s="268"/>
      <c r="U489" s="67" t="str">
        <f aca="false">IF(OR(T$600&lt;1,Spells!AF94=""),"",Spells!AF94&amp;" ("&amp;Spells!AG94&amp;")")</f>
        <v/>
      </c>
      <c r="V489" s="67"/>
      <c r="W489" s="67"/>
      <c r="X489" s="68"/>
      <c r="Y489" s="32" t="n">
        <v>121</v>
      </c>
      <c r="AA489" s="268"/>
      <c r="AB489" s="67" t="str">
        <f aca="false">IF(OR(T$600&lt;1,Spells!AF124=""),"",Spells!AF124&amp;" ("&amp;Spells!AG124&amp;")")</f>
        <v/>
      </c>
      <c r="AC489" s="67"/>
      <c r="AD489" s="67"/>
      <c r="AE489" s="68"/>
      <c r="CN489" s="32"/>
      <c r="CO489" s="32"/>
    </row>
    <row r="490" customFormat="false" ht="12.75" hidden="false" customHeight="false" outlineLevel="0" collapsed="false">
      <c r="A490" s="32" t="n">
        <v>2</v>
      </c>
      <c r="B490" s="268"/>
      <c r="C490" s="67" t="str">
        <f aca="false">IF(OR(T$600&lt;1,Spells!AF4=""),"",Spells!AF4&amp;" ("&amp;Spells!AG4&amp;")")</f>
        <v/>
      </c>
      <c r="D490" s="67"/>
      <c r="E490" s="67"/>
      <c r="F490" s="68"/>
      <c r="G490" s="32" t="n">
        <f aca="false">G489+1</f>
        <v>32</v>
      </c>
      <c r="H490" s="268"/>
      <c r="I490" s="67" t="str">
        <f aca="false">IF(OR(T$600&lt;1,Spells!AF34=""),"",Spells!AF34&amp;" ("&amp;Spells!AG34&amp;")")</f>
        <v/>
      </c>
      <c r="J490" s="67"/>
      <c r="K490" s="67"/>
      <c r="L490" s="68"/>
      <c r="M490" s="32" t="n">
        <f aca="false">M489+1</f>
        <v>62</v>
      </c>
      <c r="N490" s="268"/>
      <c r="O490" s="67" t="str">
        <f aca="false">IF(OR(T$600&lt;1,Spells!AF65=""),"",Spells!AF65&amp;" ("&amp;Spells!AG65&amp;")")</f>
        <v/>
      </c>
      <c r="P490" s="67"/>
      <c r="Q490" s="67"/>
      <c r="R490" s="68"/>
      <c r="S490" s="32" t="n">
        <f aca="false">S489+1</f>
        <v>92</v>
      </c>
      <c r="T490" s="268"/>
      <c r="U490" s="67" t="str">
        <f aca="false">IF(OR(T$600&lt;1,Spells!AF95=""),"",Spells!AF95&amp;" ("&amp;Spells!AG95&amp;")")</f>
        <v/>
      </c>
      <c r="V490" s="67"/>
      <c r="W490" s="67"/>
      <c r="X490" s="68"/>
      <c r="Y490" s="32" t="n">
        <v>122</v>
      </c>
      <c r="AA490" s="268"/>
      <c r="AB490" s="67"/>
      <c r="AC490" s="67"/>
      <c r="AD490" s="67"/>
      <c r="AE490" s="68"/>
      <c r="CN490" s="32"/>
      <c r="CO490" s="32"/>
    </row>
    <row r="491" customFormat="false" ht="12.75" hidden="false" customHeight="false" outlineLevel="0" collapsed="false">
      <c r="A491" s="32" t="n">
        <f aca="false">A490+1</f>
        <v>3</v>
      </c>
      <c r="B491" s="268"/>
      <c r="C491" s="67" t="str">
        <f aca="false">IF(OR(T$600&lt;1,Spells!AF5=""),"",Spells!AF5&amp;" ("&amp;Spells!AG5&amp;")")</f>
        <v/>
      </c>
      <c r="D491" s="67"/>
      <c r="E491" s="67"/>
      <c r="F491" s="68"/>
      <c r="G491" s="32" t="n">
        <f aca="false">G490+1</f>
        <v>33</v>
      </c>
      <c r="H491" s="268"/>
      <c r="I491" s="67" t="str">
        <f aca="false">IF(OR(T$600&lt;1,Spells!AF35=""),"",Spells!AF35&amp;" ("&amp;Spells!AG35&amp;")")</f>
        <v/>
      </c>
      <c r="J491" s="67"/>
      <c r="K491" s="67"/>
      <c r="L491" s="68"/>
      <c r="M491" s="32" t="n">
        <f aca="false">M490+1</f>
        <v>63</v>
      </c>
      <c r="N491" s="268"/>
      <c r="O491" s="67" t="str">
        <f aca="false">IF(OR(T$600&lt;1,Spells!AF66=""),"",Spells!AF66&amp;" ("&amp;Spells!AG66&amp;")")</f>
        <v/>
      </c>
      <c r="P491" s="67"/>
      <c r="Q491" s="67"/>
      <c r="R491" s="68"/>
      <c r="S491" s="32" t="n">
        <f aca="false">S490+1</f>
        <v>93</v>
      </c>
      <c r="T491" s="268"/>
      <c r="U491" s="67" t="str">
        <f aca="false">IF(OR(T$600&lt;1,Spells!AF96=""),"",Spells!AF96&amp;" ("&amp;Spells!AG96&amp;")")</f>
        <v/>
      </c>
      <c r="V491" s="67"/>
      <c r="W491" s="67"/>
      <c r="X491" s="68"/>
      <c r="Y491" s="32" t="n">
        <v>123</v>
      </c>
      <c r="AA491" s="268"/>
      <c r="AB491" s="67"/>
      <c r="AC491" s="67"/>
      <c r="AD491" s="67"/>
      <c r="AE491" s="68"/>
      <c r="CN491" s="32"/>
      <c r="CO491" s="32"/>
    </row>
    <row r="492" customFormat="false" ht="12.75" hidden="false" customHeight="false" outlineLevel="0" collapsed="false">
      <c r="A492" s="32" t="n">
        <f aca="false">A491+1</f>
        <v>4</v>
      </c>
      <c r="B492" s="268"/>
      <c r="C492" s="67" t="str">
        <f aca="false">IF(OR(T$600&lt;1,Spells!AF6=""),"",Spells!AF6&amp;" ("&amp;Spells!AG6&amp;")")</f>
        <v/>
      </c>
      <c r="D492" s="67"/>
      <c r="E492" s="67"/>
      <c r="F492" s="68"/>
      <c r="G492" s="32" t="n">
        <f aca="false">G491+1</f>
        <v>34</v>
      </c>
      <c r="H492" s="268"/>
      <c r="I492" s="67" t="str">
        <f aca="false">IF(OR(T$600&lt;1,Spells!AF36=""),"",Spells!AF36&amp;" ("&amp;Spells!AG36&amp;")")</f>
        <v/>
      </c>
      <c r="J492" s="67"/>
      <c r="K492" s="67"/>
      <c r="L492" s="68"/>
      <c r="M492" s="32" t="n">
        <f aca="false">M491+1</f>
        <v>64</v>
      </c>
      <c r="N492" s="268"/>
      <c r="O492" s="67" t="str">
        <f aca="false">IF(OR(T$600&lt;1,Spells!AF67=""),"",Spells!AF67&amp;" ("&amp;Spells!AG67&amp;")")</f>
        <v/>
      </c>
      <c r="P492" s="67"/>
      <c r="Q492" s="67"/>
      <c r="R492" s="68"/>
      <c r="S492" s="32" t="n">
        <f aca="false">S491+1</f>
        <v>94</v>
      </c>
      <c r="T492" s="268"/>
      <c r="U492" s="67" t="str">
        <f aca="false">IF(OR(T$600&lt;1,Spells!AF97=""),"",Spells!AF97&amp;" ("&amp;Spells!AG97&amp;")")</f>
        <v/>
      </c>
      <c r="V492" s="67"/>
      <c r="W492" s="67"/>
      <c r="X492" s="68"/>
      <c r="Y492" s="56" t="n">
        <v>124</v>
      </c>
      <c r="Z492" s="56"/>
      <c r="AA492" s="268"/>
      <c r="AB492" s="67"/>
      <c r="AC492" s="67"/>
      <c r="AD492" s="67"/>
      <c r="AE492" s="68"/>
      <c r="CN492" s="32"/>
      <c r="CO492" s="32"/>
    </row>
    <row r="493" customFormat="false" ht="12.75" hidden="false" customHeight="false" outlineLevel="0" collapsed="false">
      <c r="A493" s="32" t="n">
        <f aca="false">A492+1</f>
        <v>5</v>
      </c>
      <c r="B493" s="268"/>
      <c r="C493" s="67" t="str">
        <f aca="false">IF(OR(T$600&lt;1,Spells!AF7=""),"",Spells!AF7&amp;" ("&amp;Spells!AG7&amp;")")</f>
        <v/>
      </c>
      <c r="D493" s="67"/>
      <c r="E493" s="67"/>
      <c r="F493" s="68"/>
      <c r="G493" s="32" t="n">
        <f aca="false">G492+1</f>
        <v>35</v>
      </c>
      <c r="H493" s="268"/>
      <c r="I493" s="67" t="str">
        <f aca="false">IF(OR(T$600&lt;1,Spells!AF37=""),"",Spells!AF37&amp;" ("&amp;Spells!AG37&amp;")")</f>
        <v/>
      </c>
      <c r="J493" s="67"/>
      <c r="K493" s="67"/>
      <c r="L493" s="68"/>
      <c r="M493" s="32" t="n">
        <f aca="false">M492+1</f>
        <v>65</v>
      </c>
      <c r="N493" s="268"/>
      <c r="O493" s="67" t="str">
        <f aca="false">IF(OR(T$600&lt;1,Spells!AF68=""),"",Spells!AF68&amp;" ("&amp;Spells!AG68&amp;")")</f>
        <v/>
      </c>
      <c r="P493" s="67"/>
      <c r="Q493" s="67"/>
      <c r="R493" s="68"/>
      <c r="S493" s="32" t="n">
        <f aca="false">S492+1</f>
        <v>95</v>
      </c>
      <c r="T493" s="268"/>
      <c r="U493" s="67" t="str">
        <f aca="false">IF(OR(T$600&lt;1,Spells!AF98=""),"",Spells!AF98&amp;" ("&amp;Spells!AG98&amp;")")</f>
        <v/>
      </c>
      <c r="V493" s="67"/>
      <c r="W493" s="67"/>
      <c r="X493" s="68"/>
      <c r="Y493" s="56" t="n">
        <v>125</v>
      </c>
      <c r="Z493" s="56"/>
      <c r="AA493" s="268"/>
      <c r="AB493" s="67"/>
      <c r="AC493" s="67"/>
      <c r="AD493" s="67"/>
      <c r="AE493" s="68"/>
      <c r="CN493" s="32"/>
      <c r="CO493" s="32"/>
    </row>
    <row r="494" customFormat="false" ht="12.75" hidden="false" customHeight="false" outlineLevel="0" collapsed="false">
      <c r="A494" s="32" t="n">
        <f aca="false">A493+1</f>
        <v>6</v>
      </c>
      <c r="B494" s="268"/>
      <c r="C494" s="67" t="str">
        <f aca="false">IF(OR(T$600&lt;1,Spells!AF8=""),"",Spells!AF8&amp;" ("&amp;Spells!AG8&amp;")")</f>
        <v/>
      </c>
      <c r="D494" s="67"/>
      <c r="E494" s="67"/>
      <c r="F494" s="68"/>
      <c r="G494" s="32" t="n">
        <f aca="false">G493+1</f>
        <v>36</v>
      </c>
      <c r="H494" s="268"/>
      <c r="I494" s="67" t="str">
        <f aca="false">IF(OR(T$600&lt;1,Spells!AF38=""),"",Spells!AF38&amp;" ("&amp;Spells!AG38&amp;")")</f>
        <v/>
      </c>
      <c r="J494" s="67"/>
      <c r="K494" s="67"/>
      <c r="L494" s="68"/>
      <c r="M494" s="32" t="n">
        <f aca="false">M493+1</f>
        <v>66</v>
      </c>
      <c r="N494" s="268"/>
      <c r="O494" s="67" t="str">
        <f aca="false">IF(OR(T$600&lt;1,Spells!AF69=""),"",Spells!AF69&amp;" ("&amp;Spells!AG69&amp;")")</f>
        <v/>
      </c>
      <c r="P494" s="67"/>
      <c r="Q494" s="67"/>
      <c r="R494" s="68"/>
      <c r="S494" s="32" t="n">
        <f aca="false">S493+1</f>
        <v>96</v>
      </c>
      <c r="T494" s="268"/>
      <c r="U494" s="67" t="str">
        <f aca="false">IF(OR(T$600&lt;1,Spells!AF99=""),"",Spells!AF99&amp;" ("&amp;Spells!AG99&amp;")")</f>
        <v/>
      </c>
      <c r="V494" s="67"/>
      <c r="W494" s="67"/>
      <c r="X494" s="68"/>
      <c r="Y494" s="56" t="n">
        <v>126</v>
      </c>
      <c r="Z494" s="56"/>
      <c r="AA494" s="268"/>
      <c r="AB494" s="67"/>
      <c r="AC494" s="67"/>
      <c r="AD494" s="67"/>
      <c r="AE494" s="68"/>
      <c r="CN494" s="32"/>
      <c r="CO494" s="32"/>
    </row>
    <row r="495" customFormat="false" ht="12.75" hidden="false" customHeight="false" outlineLevel="0" collapsed="false">
      <c r="A495" s="32" t="n">
        <f aca="false">A494+1</f>
        <v>7</v>
      </c>
      <c r="B495" s="268"/>
      <c r="C495" s="67" t="str">
        <f aca="false">IF(OR(T$600&lt;1,Spells!AF9=""),"",Spells!AF9&amp;" ("&amp;Spells!AG9&amp;")")</f>
        <v/>
      </c>
      <c r="D495" s="67"/>
      <c r="E495" s="67"/>
      <c r="F495" s="68"/>
      <c r="G495" s="32" t="n">
        <f aca="false">G494+1</f>
        <v>37</v>
      </c>
      <c r="H495" s="268"/>
      <c r="I495" s="67" t="str">
        <f aca="false">IF(OR(T$600&lt;1,Spells!AF39=""),"",Spells!AF39&amp;" ("&amp;Spells!AG39&amp;")")</f>
        <v/>
      </c>
      <c r="J495" s="67"/>
      <c r="K495" s="67"/>
      <c r="L495" s="68"/>
      <c r="M495" s="32" t="n">
        <f aca="false">M494+1</f>
        <v>67</v>
      </c>
      <c r="N495" s="268"/>
      <c r="O495" s="67" t="str">
        <f aca="false">IF(OR(T$600&lt;1,Spells!AF70=""),"",Spells!AF70&amp;" ("&amp;Spells!AG70&amp;")")</f>
        <v/>
      </c>
      <c r="P495" s="67"/>
      <c r="Q495" s="67"/>
      <c r="R495" s="68"/>
      <c r="S495" s="32" t="n">
        <f aca="false">S494+1</f>
        <v>97</v>
      </c>
      <c r="T495" s="268"/>
      <c r="U495" s="67" t="str">
        <f aca="false">IF(OR(T$600&lt;1,Spells!AF100=""),"",Spells!AF100&amp;" ("&amp;Spells!AG100&amp;")")</f>
        <v/>
      </c>
      <c r="V495" s="67"/>
      <c r="W495" s="67"/>
      <c r="X495" s="68"/>
      <c r="Y495" s="56" t="n">
        <v>127</v>
      </c>
      <c r="Z495" s="56"/>
      <c r="AA495" s="268"/>
      <c r="AB495" s="67"/>
      <c r="AC495" s="67"/>
      <c r="AD495" s="67"/>
      <c r="AE495" s="68"/>
      <c r="CN495" s="32"/>
      <c r="CO495" s="32"/>
    </row>
    <row r="496" customFormat="false" ht="12.75" hidden="false" customHeight="false" outlineLevel="0" collapsed="false">
      <c r="A496" s="32" t="n">
        <f aca="false">A495+1</f>
        <v>8</v>
      </c>
      <c r="B496" s="268"/>
      <c r="C496" s="67" t="str">
        <f aca="false">IF(OR(T$600&lt;1,Spells!AF10=""),"",Spells!AF10&amp;" ("&amp;Spells!AG10&amp;")")</f>
        <v/>
      </c>
      <c r="D496" s="67"/>
      <c r="E496" s="67"/>
      <c r="F496" s="68"/>
      <c r="G496" s="32" t="n">
        <f aca="false">G495+1</f>
        <v>38</v>
      </c>
      <c r="H496" s="268"/>
      <c r="I496" s="67" t="str">
        <f aca="false">IF(OR(T$600&lt;1,Spells!AF40=""),"",Spells!AF40&amp;" ("&amp;Spells!AG40&amp;")")</f>
        <v/>
      </c>
      <c r="J496" s="67"/>
      <c r="K496" s="67"/>
      <c r="L496" s="68"/>
      <c r="M496" s="32" t="n">
        <f aca="false">M495+1</f>
        <v>68</v>
      </c>
      <c r="N496" s="268"/>
      <c r="O496" s="67" t="str">
        <f aca="false">IF(OR(T$600&lt;1,Spells!AF71=""),"",Spells!AF71&amp;" ("&amp;Spells!AG71&amp;")")</f>
        <v/>
      </c>
      <c r="P496" s="67"/>
      <c r="Q496" s="67"/>
      <c r="R496" s="68"/>
      <c r="S496" s="32" t="n">
        <f aca="false">S495+1</f>
        <v>98</v>
      </c>
      <c r="T496" s="268"/>
      <c r="U496" s="67" t="str">
        <f aca="false">IF(OR(T$600&lt;1,Spells!AF101=""),"",Spells!AF101&amp;" ("&amp;Spells!AG101&amp;")")</f>
        <v/>
      </c>
      <c r="V496" s="67"/>
      <c r="W496" s="67"/>
      <c r="X496" s="68"/>
      <c r="Y496" s="56" t="n">
        <v>128</v>
      </c>
      <c r="Z496" s="56"/>
      <c r="AA496" s="269"/>
      <c r="AB496" s="94"/>
      <c r="AC496" s="94"/>
      <c r="AD496" s="94"/>
      <c r="AE496" s="96"/>
      <c r="CN496" s="32"/>
      <c r="CO496" s="32"/>
    </row>
    <row r="497" customFormat="false" ht="12.75" hidden="false" customHeight="false" outlineLevel="0" collapsed="false">
      <c r="A497" s="32" t="n">
        <f aca="false">A496+1</f>
        <v>9</v>
      </c>
      <c r="B497" s="268"/>
      <c r="C497" s="67" t="str">
        <f aca="false">IF(OR(T$600&lt;1,Spells!AF11=""),"",Spells!AF11&amp;" ("&amp;Spells!AG11&amp;")")</f>
        <v/>
      </c>
      <c r="D497" s="67"/>
      <c r="E497" s="67"/>
      <c r="F497" s="68"/>
      <c r="G497" s="32" t="n">
        <f aca="false">G496+1</f>
        <v>39</v>
      </c>
      <c r="H497" s="268"/>
      <c r="I497" s="67" t="str">
        <f aca="false">IF(OR(T$600&lt;1,Spells!AF41=""),"",Spells!AF41&amp;" ("&amp;Spells!AG41&amp;")")</f>
        <v/>
      </c>
      <c r="J497" s="67"/>
      <c r="K497" s="67"/>
      <c r="L497" s="68"/>
      <c r="M497" s="32" t="n">
        <f aca="false">M496+1</f>
        <v>69</v>
      </c>
      <c r="N497" s="268"/>
      <c r="O497" s="67" t="str">
        <f aca="false">IF(OR(T$600&lt;1,Spells!AF72=""),"",Spells!AF72&amp;" ("&amp;Spells!AG72&amp;")")</f>
        <v/>
      </c>
      <c r="P497" s="67"/>
      <c r="Q497" s="67"/>
      <c r="R497" s="68"/>
      <c r="S497" s="32" t="n">
        <f aca="false">S496+1</f>
        <v>99</v>
      </c>
      <c r="T497" s="268"/>
      <c r="U497" s="67" t="str">
        <f aca="false">IF(OR(T$600&lt;1,Spells!AF102=""),"",Spells!AF102&amp;" ("&amp;Spells!AG102&amp;")")</f>
        <v/>
      </c>
      <c r="V497" s="67"/>
      <c r="W497" s="67"/>
      <c r="X497" s="68"/>
      <c r="CN497" s="32"/>
      <c r="CO497" s="32"/>
    </row>
    <row r="498" customFormat="false" ht="12.75" hidden="false" customHeight="false" outlineLevel="0" collapsed="false">
      <c r="A498" s="32" t="n">
        <f aca="false">A497+1</f>
        <v>10</v>
      </c>
      <c r="B498" s="268"/>
      <c r="C498" s="67" t="str">
        <f aca="false">IF(OR(T$600&lt;1,Spells!AF12=""),"",Spells!AF12&amp;" ("&amp;Spells!AG12&amp;")")</f>
        <v/>
      </c>
      <c r="D498" s="67"/>
      <c r="E498" s="67"/>
      <c r="F498" s="68"/>
      <c r="G498" s="32" t="n">
        <f aca="false">G497+1</f>
        <v>40</v>
      </c>
      <c r="H498" s="268"/>
      <c r="I498" s="67" t="str">
        <f aca="false">IF(OR(T$600&lt;1,Spells!AF42=""),"",Spells!AF42&amp;" ("&amp;Spells!AG42&amp;")")</f>
        <v/>
      </c>
      <c r="J498" s="67"/>
      <c r="K498" s="67"/>
      <c r="L498" s="68"/>
      <c r="M498" s="32" t="n">
        <f aca="false">M497+1</f>
        <v>70</v>
      </c>
      <c r="N498" s="268"/>
      <c r="O498" s="67" t="str">
        <f aca="false">IF(OR(T$600&lt;1,Spells!AF73=""),"",Spells!AF73&amp;" ("&amp;Spells!AG73&amp;")")</f>
        <v/>
      </c>
      <c r="P498" s="67"/>
      <c r="Q498" s="67"/>
      <c r="R498" s="68"/>
      <c r="S498" s="32" t="n">
        <f aca="false">S497+1</f>
        <v>100</v>
      </c>
      <c r="T498" s="268"/>
      <c r="U498" s="67" t="str">
        <f aca="false">IF(OR(T$600&lt;1,Spells!AF103=""),"",Spells!AF103&amp;" ("&amp;Spells!AG103&amp;")")</f>
        <v/>
      </c>
      <c r="V498" s="67"/>
      <c r="W498" s="67"/>
      <c r="X498" s="68"/>
      <c r="CN498" s="32"/>
      <c r="CO498" s="32"/>
    </row>
    <row r="499" customFormat="false" ht="12.75" hidden="false" customHeight="false" outlineLevel="0" collapsed="false">
      <c r="A499" s="32" t="n">
        <f aca="false">A498+1</f>
        <v>11</v>
      </c>
      <c r="B499" s="268"/>
      <c r="C499" s="67" t="str">
        <f aca="false">IF(OR(T$600&lt;1,Spells!AF13=""),"",Spells!AF13&amp;" ("&amp;Spells!AG13&amp;")")</f>
        <v/>
      </c>
      <c r="D499" s="67"/>
      <c r="E499" s="67"/>
      <c r="F499" s="68"/>
      <c r="G499" s="32" t="n">
        <f aca="false">G498+1</f>
        <v>41</v>
      </c>
      <c r="H499" s="268"/>
      <c r="I499" s="67" t="str">
        <f aca="false">IF(OR(T$600&lt;1,Spells!AF43=""),"",Spells!AF43&amp;" ("&amp;Spells!AG43&amp;")")</f>
        <v/>
      </c>
      <c r="J499" s="67"/>
      <c r="K499" s="67"/>
      <c r="L499" s="68"/>
      <c r="M499" s="32" t="n">
        <f aca="false">M498+1</f>
        <v>71</v>
      </c>
      <c r="N499" s="268"/>
      <c r="O499" s="67" t="str">
        <f aca="false">IF(OR(T$600&lt;1,Spells!AF74=""),"",Spells!AF74&amp;" ("&amp;Spells!AG74&amp;")")</f>
        <v/>
      </c>
      <c r="P499" s="67"/>
      <c r="Q499" s="67"/>
      <c r="R499" s="68"/>
      <c r="S499" s="32" t="n">
        <f aca="false">S498+1</f>
        <v>101</v>
      </c>
      <c r="T499" s="268"/>
      <c r="U499" s="67" t="str">
        <f aca="false">IF(OR(T$600&lt;1,Spells!AF104=""),"",Spells!AF104&amp;" ("&amp;Spells!AG104&amp;")")</f>
        <v/>
      </c>
      <c r="V499" s="67"/>
      <c r="W499" s="67"/>
      <c r="X499" s="68"/>
      <c r="CN499" s="32"/>
      <c r="CO499" s="32"/>
    </row>
    <row r="500" customFormat="false" ht="12.75" hidden="false" customHeight="false" outlineLevel="0" collapsed="false">
      <c r="A500" s="32" t="n">
        <f aca="false">A499+1</f>
        <v>12</v>
      </c>
      <c r="B500" s="268"/>
      <c r="C500" s="67" t="str">
        <f aca="false">IF(OR(T$600&lt;1,Spells!AF14=""),"",Spells!AF14&amp;" ("&amp;Spells!AG14&amp;")")</f>
        <v/>
      </c>
      <c r="D500" s="67"/>
      <c r="E500" s="67"/>
      <c r="F500" s="68"/>
      <c r="G500" s="32" t="n">
        <f aca="false">G499+1</f>
        <v>42</v>
      </c>
      <c r="H500" s="268"/>
      <c r="I500" s="67" t="str">
        <f aca="false">IF(OR(T$600&lt;1,Spells!AF44=""),"",Spells!AF44&amp;" ("&amp;Spells!AG44&amp;")")</f>
        <v/>
      </c>
      <c r="J500" s="67"/>
      <c r="K500" s="67"/>
      <c r="L500" s="68"/>
      <c r="M500" s="32" t="n">
        <f aca="false">M499+1</f>
        <v>72</v>
      </c>
      <c r="N500" s="268"/>
      <c r="O500" s="67" t="str">
        <f aca="false">IF(OR(T$600&lt;1,Spells!AF75=""),"",Spells!AF75&amp;" ("&amp;Spells!AG75&amp;")")</f>
        <v/>
      </c>
      <c r="P500" s="67"/>
      <c r="Q500" s="67"/>
      <c r="R500" s="68"/>
      <c r="S500" s="32" t="n">
        <f aca="false">S499+1</f>
        <v>102</v>
      </c>
      <c r="T500" s="268"/>
      <c r="U500" s="67" t="str">
        <f aca="false">IF(OR(T$600&lt;1,Spells!AF105=""),"",Spells!AF105&amp;" ("&amp;Spells!AG105&amp;")")</f>
        <v/>
      </c>
      <c r="V500" s="67"/>
      <c r="W500" s="67"/>
      <c r="X500" s="68"/>
      <c r="CN500" s="32"/>
      <c r="CO500" s="32"/>
    </row>
    <row r="501" customFormat="false" ht="12.75" hidden="false" customHeight="false" outlineLevel="0" collapsed="false">
      <c r="A501" s="32" t="n">
        <f aca="false">A500+1</f>
        <v>13</v>
      </c>
      <c r="B501" s="268"/>
      <c r="C501" s="67" t="str">
        <f aca="false">IF(OR(T$600&lt;1,Spells!AF15=""),"",Spells!AF15&amp;" ("&amp;Spells!AG15&amp;")")</f>
        <v/>
      </c>
      <c r="D501" s="67"/>
      <c r="E501" s="67"/>
      <c r="F501" s="68"/>
      <c r="G501" s="32" t="n">
        <f aca="false">G500+1</f>
        <v>43</v>
      </c>
      <c r="H501" s="268"/>
      <c r="I501" s="67" t="str">
        <f aca="false">IF(OR(T$600&lt;1,Spells!AF45=""),"",Spells!AF45&amp;" ("&amp;Spells!AG45&amp;")")</f>
        <v/>
      </c>
      <c r="J501" s="67"/>
      <c r="K501" s="67"/>
      <c r="L501" s="68"/>
      <c r="M501" s="32" t="n">
        <f aca="false">M500+1</f>
        <v>73</v>
      </c>
      <c r="N501" s="268"/>
      <c r="O501" s="67" t="str">
        <f aca="false">IF(OR(T$600&lt;1,Spells!AF76=""),"",Spells!AF76&amp;" ("&amp;Spells!AG76&amp;")")</f>
        <v/>
      </c>
      <c r="P501" s="67"/>
      <c r="Q501" s="67"/>
      <c r="R501" s="68"/>
      <c r="S501" s="32" t="n">
        <f aca="false">S500+1</f>
        <v>103</v>
      </c>
      <c r="T501" s="268"/>
      <c r="U501" s="67" t="str">
        <f aca="false">IF(OR(T$600&lt;1,Spells!AF106=""),"",Spells!AF106&amp;" ("&amp;Spells!AG106&amp;")")</f>
        <v/>
      </c>
      <c r="V501" s="67"/>
      <c r="W501" s="67"/>
      <c r="X501" s="68"/>
      <c r="CN501" s="32"/>
      <c r="CO501" s="32"/>
    </row>
    <row r="502" customFormat="false" ht="12.75" hidden="false" customHeight="false" outlineLevel="0" collapsed="false">
      <c r="A502" s="32" t="n">
        <f aca="false">A501+1</f>
        <v>14</v>
      </c>
      <c r="B502" s="268"/>
      <c r="C502" s="67" t="str">
        <f aca="false">IF(OR(T$600&lt;1,Spells!AF16=""),"",Spells!AF16&amp;" ("&amp;Spells!AG16&amp;")")</f>
        <v/>
      </c>
      <c r="D502" s="67"/>
      <c r="E502" s="67"/>
      <c r="F502" s="68"/>
      <c r="G502" s="32" t="n">
        <f aca="false">G501+1</f>
        <v>44</v>
      </c>
      <c r="H502" s="268"/>
      <c r="I502" s="67" t="str">
        <f aca="false">IF(OR(T$600&lt;1,Spells!AF46=""),"",Spells!AF46&amp;" ("&amp;Spells!AG46&amp;")")</f>
        <v/>
      </c>
      <c r="J502" s="67"/>
      <c r="K502" s="67"/>
      <c r="L502" s="68"/>
      <c r="M502" s="32" t="n">
        <f aca="false">M501+1</f>
        <v>74</v>
      </c>
      <c r="N502" s="268"/>
      <c r="O502" s="67" t="str">
        <f aca="false">IF(OR(T$600&lt;1,Spells!AF77=""),"",Spells!AF77&amp;" ("&amp;Spells!AG77&amp;")")</f>
        <v/>
      </c>
      <c r="P502" s="67"/>
      <c r="Q502" s="67"/>
      <c r="R502" s="68"/>
      <c r="S502" s="32" t="n">
        <f aca="false">S501+1</f>
        <v>104</v>
      </c>
      <c r="T502" s="268"/>
      <c r="U502" s="67" t="str">
        <f aca="false">IF(OR(T$600&lt;1,Spells!AF107=""),"",Spells!AF107&amp;" ("&amp;Spells!AG107&amp;")")</f>
        <v/>
      </c>
      <c r="V502" s="67"/>
      <c r="W502" s="67"/>
      <c r="X502" s="68"/>
      <c r="CN502" s="32"/>
      <c r="CO502" s="32"/>
    </row>
    <row r="503" customFormat="false" ht="12.75" hidden="false" customHeight="false" outlineLevel="0" collapsed="false">
      <c r="A503" s="32" t="n">
        <f aca="false">A502+1</f>
        <v>15</v>
      </c>
      <c r="B503" s="268"/>
      <c r="C503" s="67" t="str">
        <f aca="false">IF(OR(T$600&lt;1,Spells!AF17=""),"",Spells!AF17&amp;" ("&amp;Spells!AG17&amp;")")</f>
        <v/>
      </c>
      <c r="D503" s="67"/>
      <c r="E503" s="67"/>
      <c r="F503" s="68"/>
      <c r="G503" s="32" t="n">
        <f aca="false">G502+1</f>
        <v>45</v>
      </c>
      <c r="H503" s="268"/>
      <c r="I503" s="67" t="str">
        <f aca="false">IF(OR(T$600&lt;1,Spells!AF47=""),"",Spells!AF47&amp;" ("&amp;Spells!AG47&amp;")")</f>
        <v/>
      </c>
      <c r="J503" s="67"/>
      <c r="K503" s="67"/>
      <c r="L503" s="68"/>
      <c r="M503" s="32" t="n">
        <f aca="false">M502+1</f>
        <v>75</v>
      </c>
      <c r="N503" s="268"/>
      <c r="O503" s="67" t="str">
        <f aca="false">IF(OR(T$600&lt;1,Spells!AF78=""),"",Spells!AF78&amp;" ("&amp;Spells!AG78&amp;")")</f>
        <v/>
      </c>
      <c r="P503" s="67"/>
      <c r="Q503" s="67"/>
      <c r="R503" s="68"/>
      <c r="S503" s="32" t="n">
        <f aca="false">S502+1</f>
        <v>105</v>
      </c>
      <c r="T503" s="268"/>
      <c r="U503" s="67" t="str">
        <f aca="false">IF(OR(T$600&lt;1,Spells!AF108=""),"",Spells!AF108&amp;" ("&amp;Spells!AG108&amp;")")</f>
        <v/>
      </c>
      <c r="V503" s="67"/>
      <c r="W503" s="67"/>
      <c r="X503" s="68"/>
      <c r="CN503" s="32"/>
      <c r="CO503" s="32"/>
    </row>
    <row r="504" customFormat="false" ht="12.75" hidden="false" customHeight="false" outlineLevel="0" collapsed="false">
      <c r="A504" s="32" t="n">
        <f aca="false">A503+1</f>
        <v>16</v>
      </c>
      <c r="B504" s="268"/>
      <c r="C504" s="67" t="str">
        <f aca="false">IF(OR(T$600&lt;1,Spells!AF18=""),"",Spells!AF18&amp;" ("&amp;Spells!AG18&amp;")")</f>
        <v/>
      </c>
      <c r="D504" s="67"/>
      <c r="E504" s="67"/>
      <c r="F504" s="68"/>
      <c r="G504" s="32" t="n">
        <f aca="false">G503+1</f>
        <v>46</v>
      </c>
      <c r="H504" s="268"/>
      <c r="I504" s="67" t="str">
        <f aca="false">IF(OR(T$600&lt;1,Spells!AF48=""),"",Spells!AF48&amp;" ("&amp;Spells!AG48&amp;")")</f>
        <v/>
      </c>
      <c r="J504" s="67"/>
      <c r="K504" s="67"/>
      <c r="L504" s="68"/>
      <c r="M504" s="32" t="n">
        <f aca="false">M503+1</f>
        <v>76</v>
      </c>
      <c r="N504" s="268"/>
      <c r="O504" s="67" t="str">
        <f aca="false">IF(OR(T$600&lt;1,Spells!AF79=""),"",Spells!AF79&amp;" ("&amp;Spells!AG79&amp;")")</f>
        <v/>
      </c>
      <c r="P504" s="67"/>
      <c r="Q504" s="67"/>
      <c r="R504" s="68"/>
      <c r="S504" s="32" t="n">
        <f aca="false">S503+1</f>
        <v>106</v>
      </c>
      <c r="T504" s="268"/>
      <c r="U504" s="67" t="str">
        <f aca="false">IF(OR(T$600&lt;1,Spells!AF109=""),"",Spells!AF109&amp;" ("&amp;Spells!AG109&amp;")")</f>
        <v/>
      </c>
      <c r="V504" s="67"/>
      <c r="W504" s="67"/>
      <c r="X504" s="68"/>
      <c r="CN504" s="32"/>
      <c r="CO504" s="32"/>
    </row>
    <row r="505" customFormat="false" ht="12.75" hidden="false" customHeight="false" outlineLevel="0" collapsed="false">
      <c r="A505" s="32" t="n">
        <f aca="false">A504+1</f>
        <v>17</v>
      </c>
      <c r="B505" s="268"/>
      <c r="C505" s="67" t="str">
        <f aca="false">IF(OR(T$600&lt;1,Spells!AF19=""),"",Spells!AF19&amp;" ("&amp;Spells!AG19&amp;")")</f>
        <v/>
      </c>
      <c r="D505" s="67"/>
      <c r="E505" s="67"/>
      <c r="F505" s="68"/>
      <c r="G505" s="32" t="n">
        <f aca="false">G504+1</f>
        <v>47</v>
      </c>
      <c r="H505" s="268"/>
      <c r="I505" s="67" t="str">
        <f aca="false">IF(OR(T$600&lt;1,Spells!AF49=""),"",Spells!AF49&amp;" ("&amp;Spells!AG49&amp;")")</f>
        <v/>
      </c>
      <c r="J505" s="67"/>
      <c r="K505" s="67"/>
      <c r="L505" s="68"/>
      <c r="M505" s="32" t="n">
        <f aca="false">M504+1</f>
        <v>77</v>
      </c>
      <c r="N505" s="268"/>
      <c r="O505" s="67" t="str">
        <f aca="false">IF(OR(T$600&lt;1,Spells!AF80=""),"",Spells!AF80&amp;" ("&amp;Spells!AG80&amp;")")</f>
        <v/>
      </c>
      <c r="P505" s="67"/>
      <c r="Q505" s="67"/>
      <c r="R505" s="68"/>
      <c r="S505" s="32" t="n">
        <f aca="false">S504+1</f>
        <v>107</v>
      </c>
      <c r="T505" s="268"/>
      <c r="U505" s="67" t="str">
        <f aca="false">IF(OR(T$600&lt;1,Spells!AF110=""),"",Spells!AF110&amp;" ("&amp;Spells!AG110&amp;")")</f>
        <v/>
      </c>
      <c r="V505" s="67"/>
      <c r="W505" s="67"/>
      <c r="X505" s="68"/>
      <c r="CN505" s="32"/>
      <c r="CO505" s="32"/>
    </row>
    <row r="506" customFormat="false" ht="12.75" hidden="false" customHeight="false" outlineLevel="0" collapsed="false">
      <c r="A506" s="32" t="n">
        <f aca="false">A505+1</f>
        <v>18</v>
      </c>
      <c r="B506" s="268"/>
      <c r="C506" s="67" t="str">
        <f aca="false">IF(OR(T$600&lt;1,Spells!AF20=""),"",Spells!AF20&amp;" ("&amp;Spells!AG20&amp;")")</f>
        <v/>
      </c>
      <c r="D506" s="67"/>
      <c r="E506" s="67"/>
      <c r="F506" s="68"/>
      <c r="G506" s="32" t="n">
        <f aca="false">G505+1</f>
        <v>48</v>
      </c>
      <c r="H506" s="268"/>
      <c r="I506" s="67" t="str">
        <f aca="false">IF(OR(T$600&lt;1,Spells!AF51=""),"",Spells!AF51&amp;" ("&amp;Spells!AG51&amp;")")</f>
        <v/>
      </c>
      <c r="J506" s="67"/>
      <c r="K506" s="67"/>
      <c r="L506" s="68"/>
      <c r="M506" s="32" t="n">
        <f aca="false">M505+1</f>
        <v>78</v>
      </c>
      <c r="N506" s="268"/>
      <c r="O506" s="67" t="str">
        <f aca="false">IF(OR(T$600&lt;1,Spells!AF81=""),"",Spells!AF81&amp;" ("&amp;Spells!AG81&amp;")")</f>
        <v/>
      </c>
      <c r="P506" s="67"/>
      <c r="Q506" s="67"/>
      <c r="R506" s="68"/>
      <c r="S506" s="32" t="n">
        <f aca="false">S505+1</f>
        <v>108</v>
      </c>
      <c r="T506" s="268"/>
      <c r="U506" s="67" t="str">
        <f aca="false">IF(OR(T$600&lt;1,Spells!AF111=""),"",Spells!AF111&amp;" ("&amp;Spells!AG111&amp;")")</f>
        <v/>
      </c>
      <c r="V506" s="67"/>
      <c r="W506" s="67"/>
      <c r="X506" s="68"/>
      <c r="CN506" s="32"/>
      <c r="CO506" s="32"/>
    </row>
    <row r="507" customFormat="false" ht="12.75" hidden="false" customHeight="false" outlineLevel="0" collapsed="false">
      <c r="A507" s="32" t="n">
        <f aca="false">A506+1</f>
        <v>19</v>
      </c>
      <c r="B507" s="268"/>
      <c r="C507" s="67" t="str">
        <f aca="false">IF(OR(T$600&lt;1,Spells!AF21=""),"",Spells!AF21&amp;" ("&amp;Spells!AG21&amp;")")</f>
        <v/>
      </c>
      <c r="D507" s="67"/>
      <c r="E507" s="67"/>
      <c r="F507" s="68"/>
      <c r="G507" s="32" t="n">
        <f aca="false">G506+1</f>
        <v>49</v>
      </c>
      <c r="H507" s="268"/>
      <c r="I507" s="67" t="str">
        <f aca="false">IF(OR(T$600&lt;1,Spells!AF52=""),"",Spells!AF52&amp;" ("&amp;Spells!AG52&amp;")")</f>
        <v/>
      </c>
      <c r="J507" s="67"/>
      <c r="K507" s="67"/>
      <c r="L507" s="68"/>
      <c r="M507" s="32" t="n">
        <f aca="false">M506+1</f>
        <v>79</v>
      </c>
      <c r="N507" s="268"/>
      <c r="O507" s="67" t="str">
        <f aca="false">IF(OR(T$600&lt;1,Spells!AF82=""),"",Spells!AF82&amp;" ("&amp;Spells!AG82&amp;")")</f>
        <v/>
      </c>
      <c r="P507" s="67"/>
      <c r="Q507" s="67"/>
      <c r="R507" s="68"/>
      <c r="S507" s="32" t="n">
        <f aca="false">S506+1</f>
        <v>109</v>
      </c>
      <c r="T507" s="268"/>
      <c r="U507" s="67" t="str">
        <f aca="false">IF(OR(T$600&lt;1,Spells!AF112=""),"",Spells!AF112&amp;" ("&amp;Spells!AG112&amp;")")</f>
        <v/>
      </c>
      <c r="V507" s="67"/>
      <c r="W507" s="67"/>
      <c r="X507" s="68"/>
      <c r="CN507" s="32"/>
      <c r="CO507" s="32"/>
    </row>
    <row r="508" customFormat="false" ht="12.75" hidden="false" customHeight="false" outlineLevel="0" collapsed="false">
      <c r="A508" s="32" t="n">
        <f aca="false">A507+1</f>
        <v>20</v>
      </c>
      <c r="B508" s="268"/>
      <c r="C508" s="67" t="str">
        <f aca="false">IF(OR(T$600&lt;1,Spells!AF22=""),"",Spells!AF22&amp;" ("&amp;Spells!AG22&amp;")")</f>
        <v/>
      </c>
      <c r="D508" s="67"/>
      <c r="E508" s="67"/>
      <c r="F508" s="68"/>
      <c r="G508" s="32" t="n">
        <f aca="false">G507+1</f>
        <v>50</v>
      </c>
      <c r="H508" s="268"/>
      <c r="I508" s="67" t="str">
        <f aca="false">IF(OR(T$600&lt;1,Spells!AF53=""),"",Spells!AF53&amp;" ("&amp;Spells!AG53&amp;")")</f>
        <v/>
      </c>
      <c r="J508" s="67"/>
      <c r="K508" s="67"/>
      <c r="L508" s="68"/>
      <c r="M508" s="32" t="n">
        <f aca="false">M507+1</f>
        <v>80</v>
      </c>
      <c r="N508" s="268"/>
      <c r="O508" s="67" t="str">
        <f aca="false">IF(OR(T$600&lt;1,Spells!AF83=""),"",Spells!AF83&amp;" ("&amp;Spells!AG83&amp;")")</f>
        <v/>
      </c>
      <c r="P508" s="67"/>
      <c r="Q508" s="67"/>
      <c r="R508" s="68"/>
      <c r="S508" s="32" t="n">
        <f aca="false">S507+1</f>
        <v>110</v>
      </c>
      <c r="T508" s="268"/>
      <c r="U508" s="67" t="str">
        <f aca="false">IF(OR(T$600&lt;1,Spells!AF113=""),"",Spells!AF113&amp;" ("&amp;Spells!AG113&amp;")")</f>
        <v/>
      </c>
      <c r="V508" s="67"/>
      <c r="W508" s="67"/>
      <c r="X508" s="68"/>
      <c r="CN508" s="32"/>
      <c r="CO508" s="32"/>
    </row>
    <row r="509" customFormat="false" ht="12.75" hidden="false" customHeight="false" outlineLevel="0" collapsed="false">
      <c r="A509" s="32" t="n">
        <f aca="false">A508+1</f>
        <v>21</v>
      </c>
      <c r="B509" s="268"/>
      <c r="C509" s="67" t="str">
        <f aca="false">IF(OR(T$600&lt;1,Spells!AF23=""),"",Spells!AF23&amp;" ("&amp;Spells!AG23&amp;")")</f>
        <v/>
      </c>
      <c r="D509" s="67"/>
      <c r="E509" s="67"/>
      <c r="F509" s="68"/>
      <c r="G509" s="32" t="n">
        <f aca="false">G508+1</f>
        <v>51</v>
      </c>
      <c r="H509" s="268"/>
      <c r="I509" s="67" t="str">
        <f aca="false">IF(OR(T$600&lt;1,Spells!AF54=""),"",Spells!AF54&amp;" ("&amp;Spells!AG54&amp;")")</f>
        <v/>
      </c>
      <c r="J509" s="67"/>
      <c r="K509" s="67"/>
      <c r="L509" s="68"/>
      <c r="M509" s="32" t="n">
        <f aca="false">M508+1</f>
        <v>81</v>
      </c>
      <c r="N509" s="268"/>
      <c r="O509" s="67" t="str">
        <f aca="false">IF(OR(T$600&lt;1,Spells!AF84=""),"",Spells!AF84&amp;" ("&amp;Spells!AG84&amp;")")</f>
        <v/>
      </c>
      <c r="P509" s="67"/>
      <c r="Q509" s="67"/>
      <c r="R509" s="68"/>
      <c r="S509" s="32" t="n">
        <f aca="false">S508+1</f>
        <v>111</v>
      </c>
      <c r="T509" s="268"/>
      <c r="U509" s="67" t="str">
        <f aca="false">IF(OR(T$600&lt;1,Spells!AF114=""),"",Spells!AF114&amp;" ("&amp;Spells!AG114&amp;")")</f>
        <v/>
      </c>
      <c r="V509" s="67"/>
      <c r="W509" s="67"/>
      <c r="X509" s="68"/>
      <c r="CN509" s="32"/>
      <c r="CO509" s="32"/>
    </row>
    <row r="510" customFormat="false" ht="12.75" hidden="false" customHeight="false" outlineLevel="0" collapsed="false">
      <c r="A510" s="32" t="n">
        <f aca="false">A509+1</f>
        <v>22</v>
      </c>
      <c r="B510" s="268"/>
      <c r="C510" s="67" t="str">
        <f aca="false">IF(OR(T$600&lt;1,Spells!AF24=""),"",Spells!AF24&amp;" ("&amp;Spells!AG24&amp;")")</f>
        <v/>
      </c>
      <c r="D510" s="67"/>
      <c r="E510" s="67"/>
      <c r="F510" s="68"/>
      <c r="G510" s="32" t="n">
        <f aca="false">G509+1</f>
        <v>52</v>
      </c>
      <c r="H510" s="268"/>
      <c r="I510" s="67" t="str">
        <f aca="false">IF(OR(T$600&lt;1,Spells!AF55=""),"",Spells!AF55&amp;" ("&amp;Spells!AG55&amp;")")</f>
        <v/>
      </c>
      <c r="J510" s="67"/>
      <c r="K510" s="67"/>
      <c r="L510" s="68"/>
      <c r="M510" s="32" t="n">
        <f aca="false">M509+1</f>
        <v>82</v>
      </c>
      <c r="N510" s="268"/>
      <c r="O510" s="67" t="str">
        <f aca="false">IF(OR(T$600&lt;1,Spells!AF85=""),"",Spells!AF85&amp;" ("&amp;Spells!AG85&amp;")")</f>
        <v/>
      </c>
      <c r="P510" s="67"/>
      <c r="Q510" s="67"/>
      <c r="R510" s="68"/>
      <c r="S510" s="32" t="n">
        <f aca="false">S509+1</f>
        <v>112</v>
      </c>
      <c r="T510" s="268"/>
      <c r="U510" s="67" t="str">
        <f aca="false">IF(OR(T$600&lt;1,Spells!AF115=""),"",Spells!AF115&amp;" ("&amp;Spells!AG115&amp;")")</f>
        <v/>
      </c>
      <c r="V510" s="67"/>
      <c r="W510" s="67"/>
      <c r="X510" s="68"/>
      <c r="CN510" s="32"/>
      <c r="CO510" s="32"/>
    </row>
    <row r="511" customFormat="false" ht="12.75" hidden="false" customHeight="false" outlineLevel="0" collapsed="false">
      <c r="A511" s="32" t="n">
        <f aca="false">A510+1</f>
        <v>23</v>
      </c>
      <c r="B511" s="268"/>
      <c r="C511" s="67" t="str">
        <f aca="false">IF(OR(T$600&lt;1,Spells!AF25=""),"",Spells!AF25&amp;" ("&amp;Spells!AG25&amp;")")</f>
        <v/>
      </c>
      <c r="D511" s="67"/>
      <c r="E511" s="67"/>
      <c r="F511" s="68"/>
      <c r="G511" s="32" t="n">
        <f aca="false">G510+1</f>
        <v>53</v>
      </c>
      <c r="H511" s="268"/>
      <c r="I511" s="67" t="str">
        <f aca="false">IF(OR(T$600&lt;1,Spells!AF56=""),"",Spells!AF56&amp;" ("&amp;Spells!AG56&amp;")")</f>
        <v/>
      </c>
      <c r="J511" s="67"/>
      <c r="K511" s="67"/>
      <c r="L511" s="68"/>
      <c r="M511" s="32" t="n">
        <f aca="false">M510+1</f>
        <v>83</v>
      </c>
      <c r="N511" s="268"/>
      <c r="O511" s="67" t="str">
        <f aca="false">IF(OR(T$600&lt;1,Spells!AF86=""),"",Spells!AF86&amp;" ("&amp;Spells!AG86&amp;")")</f>
        <v/>
      </c>
      <c r="P511" s="67"/>
      <c r="Q511" s="67"/>
      <c r="R511" s="68"/>
      <c r="S511" s="32" t="n">
        <f aca="false">S510+1</f>
        <v>113</v>
      </c>
      <c r="T511" s="268"/>
      <c r="U511" s="67" t="str">
        <f aca="false">IF(OR(T$600&lt;1,Spells!AF116=""),"",Spells!AF116&amp;" ("&amp;Spells!AG116&amp;")")</f>
        <v/>
      </c>
      <c r="V511" s="67"/>
      <c r="W511" s="67"/>
      <c r="X511" s="68"/>
      <c r="CN511" s="32"/>
      <c r="CO511" s="32"/>
    </row>
    <row r="512" customFormat="false" ht="12.75" hidden="false" customHeight="false" outlineLevel="0" collapsed="false">
      <c r="A512" s="32" t="n">
        <f aca="false">A511+1</f>
        <v>24</v>
      </c>
      <c r="B512" s="268"/>
      <c r="C512" s="67" t="str">
        <f aca="false">IF(OR(T$600&lt;1,Spells!AF26=""),"",Spells!AF26&amp;" ("&amp;Spells!AG26&amp;")")</f>
        <v/>
      </c>
      <c r="D512" s="67"/>
      <c r="E512" s="67"/>
      <c r="F512" s="68"/>
      <c r="G512" s="32" t="n">
        <f aca="false">G511+1</f>
        <v>54</v>
      </c>
      <c r="H512" s="268"/>
      <c r="I512" s="67" t="str">
        <f aca="false">IF(OR(T$600&lt;1,Spells!AF57=""),"",Spells!AF57&amp;" ("&amp;Spells!AG57&amp;")")</f>
        <v/>
      </c>
      <c r="J512" s="67"/>
      <c r="K512" s="67"/>
      <c r="L512" s="68"/>
      <c r="M512" s="32" t="n">
        <f aca="false">M511+1</f>
        <v>84</v>
      </c>
      <c r="N512" s="268"/>
      <c r="O512" s="67" t="str">
        <f aca="false">IF(OR(T$600&lt;1,Spells!AF87=""),"",Spells!AF87&amp;" ("&amp;Spells!AG87&amp;")")</f>
        <v/>
      </c>
      <c r="P512" s="67"/>
      <c r="Q512" s="67"/>
      <c r="R512" s="68"/>
      <c r="S512" s="32" t="n">
        <f aca="false">S511+1</f>
        <v>114</v>
      </c>
      <c r="T512" s="268"/>
      <c r="U512" s="67" t="str">
        <f aca="false">IF(OR(T$600&lt;1,Spells!AF117=""),"",Spells!AF117&amp;" ("&amp;Spells!AG117&amp;")")</f>
        <v/>
      </c>
      <c r="V512" s="67"/>
      <c r="W512" s="67"/>
      <c r="X512" s="68"/>
      <c r="CN512" s="32"/>
      <c r="CO512" s="32"/>
    </row>
    <row r="513" customFormat="false" ht="12.75" hidden="false" customHeight="false" outlineLevel="0" collapsed="false">
      <c r="A513" s="32" t="n">
        <f aca="false">A512+1</f>
        <v>25</v>
      </c>
      <c r="B513" s="268"/>
      <c r="C513" s="67" t="str">
        <f aca="false">IF(OR(T$600&lt;1,Spells!AF27=""),"",Spells!AF27&amp;" ("&amp;Spells!AG27&amp;")")</f>
        <v/>
      </c>
      <c r="D513" s="67"/>
      <c r="E513" s="67"/>
      <c r="F513" s="68"/>
      <c r="G513" s="32" t="n">
        <f aca="false">G512+1</f>
        <v>55</v>
      </c>
      <c r="H513" s="268"/>
      <c r="I513" s="67" t="str">
        <f aca="false">IF(OR(T$600&lt;1,Spells!AF58=""),"",Spells!AF58&amp;" ("&amp;Spells!AG58&amp;")")</f>
        <v/>
      </c>
      <c r="J513" s="67"/>
      <c r="K513" s="67"/>
      <c r="L513" s="68"/>
      <c r="M513" s="32" t="n">
        <f aca="false">M512+1</f>
        <v>85</v>
      </c>
      <c r="N513" s="268"/>
      <c r="O513" s="67" t="str">
        <f aca="false">IF(OR(T$600&lt;1,Spells!AF88=""),"",Spells!AF88&amp;" ("&amp;Spells!AG88&amp;")")</f>
        <v/>
      </c>
      <c r="P513" s="67"/>
      <c r="Q513" s="67"/>
      <c r="R513" s="68"/>
      <c r="S513" s="32" t="n">
        <f aca="false">S512+1</f>
        <v>115</v>
      </c>
      <c r="T513" s="268"/>
      <c r="U513" s="67" t="str">
        <f aca="false">IF(OR(T$600&lt;1,Spells!AF118=""),"",Spells!AF118&amp;" ("&amp;Spells!AG118&amp;")")</f>
        <v/>
      </c>
      <c r="V513" s="67"/>
      <c r="W513" s="67"/>
      <c r="X513" s="68"/>
      <c r="CN513" s="32"/>
      <c r="CO513" s="32"/>
    </row>
    <row r="514" customFormat="false" ht="12.75" hidden="false" customHeight="false" outlineLevel="0" collapsed="false">
      <c r="A514" s="32" t="n">
        <f aca="false">A513+1</f>
        <v>26</v>
      </c>
      <c r="B514" s="268"/>
      <c r="C514" s="67" t="str">
        <f aca="false">IF(OR(T$600&lt;1,Spells!AF28=""),"",Spells!AF28&amp;" ("&amp;Spells!AG28&amp;")")</f>
        <v/>
      </c>
      <c r="D514" s="67"/>
      <c r="E514" s="67"/>
      <c r="F514" s="68"/>
      <c r="G514" s="32" t="n">
        <f aca="false">G513+1</f>
        <v>56</v>
      </c>
      <c r="H514" s="268"/>
      <c r="I514" s="67" t="str">
        <f aca="false">IF(OR(T$600&lt;1,Spells!AF59=""),"",Spells!AF59&amp;" ("&amp;Spells!AG59&amp;")")</f>
        <v/>
      </c>
      <c r="J514" s="67"/>
      <c r="K514" s="67"/>
      <c r="L514" s="68"/>
      <c r="M514" s="32" t="n">
        <f aca="false">M513+1</f>
        <v>86</v>
      </c>
      <c r="N514" s="268"/>
      <c r="O514" s="67" t="str">
        <f aca="false">IF(OR(T$600&lt;1,Spells!AF89=""),"",Spells!AF89&amp;" ("&amp;Spells!AG89&amp;")")</f>
        <v/>
      </c>
      <c r="P514" s="67"/>
      <c r="Q514" s="67"/>
      <c r="R514" s="68"/>
      <c r="S514" s="32" t="n">
        <f aca="false">S513+1</f>
        <v>116</v>
      </c>
      <c r="T514" s="268"/>
      <c r="U514" s="67" t="str">
        <f aca="false">IF(OR(T$600&lt;1,Spells!AF119=""),"",Spells!AF119&amp;" ("&amp;Spells!AG119&amp;")")</f>
        <v/>
      </c>
      <c r="V514" s="67"/>
      <c r="W514" s="67"/>
      <c r="X514" s="68"/>
      <c r="CN514" s="32"/>
      <c r="CO514" s="32"/>
    </row>
    <row r="515" customFormat="false" ht="12.75" hidden="false" customHeight="false" outlineLevel="0" collapsed="false">
      <c r="A515" s="32" t="n">
        <f aca="false">A514+1</f>
        <v>27</v>
      </c>
      <c r="B515" s="268"/>
      <c r="C515" s="67" t="str">
        <f aca="false">IF(OR(T$600&lt;1,Spells!AF29=""),"",Spells!AF29&amp;" ("&amp;Spells!AG29&amp;")")</f>
        <v/>
      </c>
      <c r="D515" s="67"/>
      <c r="E515" s="67"/>
      <c r="F515" s="68"/>
      <c r="G515" s="32" t="n">
        <f aca="false">G514+1</f>
        <v>57</v>
      </c>
      <c r="H515" s="268"/>
      <c r="I515" s="67" t="str">
        <f aca="false">IF(OR(T$600&lt;1,Spells!AF60=""),"",Spells!AF60&amp;" ("&amp;Spells!AG60&amp;")")</f>
        <v/>
      </c>
      <c r="J515" s="67"/>
      <c r="K515" s="67"/>
      <c r="L515" s="68"/>
      <c r="M515" s="32" t="n">
        <f aca="false">M514+1</f>
        <v>87</v>
      </c>
      <c r="N515" s="268"/>
      <c r="O515" s="67" t="str">
        <f aca="false">IF(OR(T$600&lt;1,Spells!AF90=""),"",Spells!AF90&amp;" ("&amp;Spells!AG90&amp;")")</f>
        <v/>
      </c>
      <c r="P515" s="67"/>
      <c r="Q515" s="67"/>
      <c r="R515" s="68"/>
      <c r="S515" s="32" t="n">
        <f aca="false">S514+1</f>
        <v>117</v>
      </c>
      <c r="T515" s="268"/>
      <c r="U515" s="67" t="str">
        <f aca="false">IF(OR(T$600&lt;1,Spells!AF120=""),"",Spells!AF120&amp;" ("&amp;Spells!AG120&amp;")")</f>
        <v/>
      </c>
      <c r="V515" s="67"/>
      <c r="W515" s="67"/>
      <c r="X515" s="68"/>
      <c r="CN515" s="32"/>
      <c r="CO515" s="32"/>
    </row>
    <row r="516" customFormat="false" ht="12.75" hidden="false" customHeight="false" outlineLevel="0" collapsed="false">
      <c r="A516" s="32" t="n">
        <f aca="false">A515+1</f>
        <v>28</v>
      </c>
      <c r="B516" s="268"/>
      <c r="C516" s="67" t="str">
        <f aca="false">IF(OR(T$600&lt;1,Spells!AF30=""),"",Spells!AF30&amp;" ("&amp;Spells!AG30&amp;")")</f>
        <v/>
      </c>
      <c r="D516" s="67"/>
      <c r="E516" s="67"/>
      <c r="F516" s="68"/>
      <c r="G516" s="32" t="n">
        <f aca="false">G515+1</f>
        <v>58</v>
      </c>
      <c r="H516" s="268"/>
      <c r="I516" s="67" t="str">
        <f aca="false">IF(OR(T$600&lt;1,Spells!AF61=""),"",Spells!AF61&amp;" ("&amp;Spells!AG61&amp;")")</f>
        <v/>
      </c>
      <c r="J516" s="67"/>
      <c r="K516" s="67"/>
      <c r="L516" s="68"/>
      <c r="M516" s="32" t="n">
        <f aca="false">M515+1</f>
        <v>88</v>
      </c>
      <c r="N516" s="268"/>
      <c r="O516" s="67" t="str">
        <f aca="false">IF(OR(T$600&lt;1,Spells!AF91=""),"",Spells!AF91&amp;" ("&amp;Spells!AG91&amp;")")</f>
        <v/>
      </c>
      <c r="P516" s="67"/>
      <c r="Q516" s="67"/>
      <c r="R516" s="68"/>
      <c r="S516" s="32" t="n">
        <f aca="false">S515+1</f>
        <v>118</v>
      </c>
      <c r="T516" s="268"/>
      <c r="U516" s="67" t="str">
        <f aca="false">IF(OR(T$600&lt;1,Spells!AF121=""),"",Spells!AF121&amp;" ("&amp;Spells!AG121&amp;")")</f>
        <v/>
      </c>
      <c r="V516" s="67"/>
      <c r="W516" s="67"/>
      <c r="X516" s="68"/>
      <c r="CN516" s="32"/>
      <c r="CO516" s="32"/>
    </row>
    <row r="517" customFormat="false" ht="12.75" hidden="false" customHeight="false" outlineLevel="0" collapsed="false">
      <c r="A517" s="32" t="n">
        <f aca="false">A516+1</f>
        <v>29</v>
      </c>
      <c r="B517" s="268"/>
      <c r="C517" s="67" t="str">
        <f aca="false">IF(OR(T$600&lt;1,Spells!AF31=""),"",Spells!AF31&amp;" ("&amp;Spells!AG31&amp;")")</f>
        <v/>
      </c>
      <c r="D517" s="67"/>
      <c r="E517" s="67"/>
      <c r="F517" s="68"/>
      <c r="G517" s="32" t="n">
        <f aca="false">G516+1</f>
        <v>59</v>
      </c>
      <c r="H517" s="268"/>
      <c r="I517" s="67" t="str">
        <f aca="false">IF(OR(T$600&lt;1,Spells!AF62=""),"",Spells!AF62&amp;" ("&amp;Spells!AG62&amp;")")</f>
        <v/>
      </c>
      <c r="J517" s="67"/>
      <c r="K517" s="67"/>
      <c r="L517" s="68"/>
      <c r="M517" s="32" t="n">
        <f aca="false">M516+1</f>
        <v>89</v>
      </c>
      <c r="N517" s="268"/>
      <c r="O517" s="67" t="str">
        <f aca="false">IF(OR(T$600&lt;1,Spells!AF92=""),"",Spells!AF92&amp;" ("&amp;Spells!AG92&amp;")")</f>
        <v/>
      </c>
      <c r="P517" s="67"/>
      <c r="Q517" s="67"/>
      <c r="R517" s="68"/>
      <c r="S517" s="32" t="n">
        <f aca="false">S516+1</f>
        <v>119</v>
      </c>
      <c r="T517" s="268"/>
      <c r="U517" s="67" t="str">
        <f aca="false">IF(OR(T$600&lt;1,Spells!AF122=""),"",Spells!AF122&amp;" ("&amp;Spells!AG122&amp;")")</f>
        <v/>
      </c>
      <c r="V517" s="67"/>
      <c r="W517" s="67"/>
      <c r="X517" s="68"/>
      <c r="CN517" s="32"/>
      <c r="CO517" s="32"/>
    </row>
    <row r="518" customFormat="false" ht="12.75" hidden="false" customHeight="false" outlineLevel="0" collapsed="false">
      <c r="A518" s="32" t="n">
        <f aca="false">A517+1</f>
        <v>30</v>
      </c>
      <c r="B518" s="269"/>
      <c r="C518" s="94" t="str">
        <f aca="false">IF(OR(T$600&lt;1,Spells!AF32=""),"",Spells!AF32&amp;" ("&amp;Spells!AG32&amp;")")</f>
        <v/>
      </c>
      <c r="D518" s="94"/>
      <c r="E518" s="94"/>
      <c r="F518" s="96"/>
      <c r="G518" s="32" t="n">
        <f aca="false">G517+1</f>
        <v>60</v>
      </c>
      <c r="H518" s="269"/>
      <c r="I518" s="94" t="str">
        <f aca="false">IF(OR(T$600&lt;1,Spells!AF63=""),"",Spells!AF63&amp;" ("&amp;Spells!AG63&amp;")")</f>
        <v/>
      </c>
      <c r="J518" s="94"/>
      <c r="K518" s="94"/>
      <c r="L518" s="96"/>
      <c r="M518" s="32" t="n">
        <f aca="false">M517+1</f>
        <v>90</v>
      </c>
      <c r="N518" s="269"/>
      <c r="O518" s="94" t="str">
        <f aca="false">IF(OR(T$600&lt;1,Spells!AF93=""),"",Spells!AF93&amp;" ("&amp;Spells!AG93&amp;")")</f>
        <v/>
      </c>
      <c r="P518" s="94"/>
      <c r="Q518" s="94"/>
      <c r="R518" s="96"/>
      <c r="S518" s="32" t="n">
        <f aca="false">S517+1</f>
        <v>120</v>
      </c>
      <c r="T518" s="269"/>
      <c r="U518" s="94" t="str">
        <f aca="false">IF(OR(T$600&lt;1,Spells!AF123=""),"",Spells!AF123&amp;" ("&amp;Spells!AG123&amp;")")</f>
        <v/>
      </c>
      <c r="V518" s="94"/>
      <c r="W518" s="94"/>
      <c r="X518" s="96"/>
      <c r="CN518" s="32"/>
      <c r="CO518" s="32"/>
    </row>
    <row r="519" customFormat="false" ht="12.75" hidden="false" customHeight="false" outlineLevel="0" collapsed="false">
      <c r="CN519" s="32"/>
      <c r="CO519" s="32"/>
    </row>
    <row r="520" customFormat="false" ht="12.75" hidden="false" customHeight="false" outlineLevel="0" collapsed="false">
      <c r="B520" s="267" t="s">
        <v>941</v>
      </c>
      <c r="C520" s="51"/>
      <c r="D520" s="51"/>
      <c r="E520" s="51"/>
      <c r="F520" s="52"/>
      <c r="H520" s="267" t="s">
        <v>941</v>
      </c>
      <c r="I520" s="51"/>
      <c r="J520" s="51"/>
      <c r="K520" s="51"/>
      <c r="L520" s="52"/>
      <c r="N520" s="267" t="s">
        <v>941</v>
      </c>
      <c r="O520" s="51"/>
      <c r="P520" s="51"/>
      <c r="Q520" s="51"/>
      <c r="R520" s="52"/>
      <c r="T520" s="267" t="s">
        <v>941</v>
      </c>
      <c r="U520" s="51"/>
      <c r="V520" s="51"/>
      <c r="W520" s="51"/>
      <c r="X520" s="52"/>
      <c r="AA520" s="267" t="s">
        <v>941</v>
      </c>
      <c r="AB520" s="51"/>
      <c r="AC520" s="51"/>
      <c r="AD520" s="51"/>
      <c r="AE520" s="52"/>
      <c r="CN520" s="32"/>
      <c r="CO520" s="32"/>
    </row>
    <row r="521" customFormat="false" ht="12.75" hidden="false" customHeight="false" outlineLevel="0" collapsed="false">
      <c r="A521" s="32" t="n">
        <v>1</v>
      </c>
      <c r="B521" s="268"/>
      <c r="C521" s="67" t="str">
        <f aca="false">IF(OR(T$601&lt;1,Spells!AP3=""),"",Spells!AP3&amp;" ("&amp;Spells!AQ3&amp;")")</f>
        <v/>
      </c>
      <c r="D521" s="67"/>
      <c r="E521" s="67"/>
      <c r="F521" s="68"/>
      <c r="G521" s="32" t="n">
        <f aca="false">A550+1</f>
        <v>31</v>
      </c>
      <c r="H521" s="268"/>
      <c r="I521" s="67" t="str">
        <f aca="false">IF(OR(T$601&lt;1,Spells!AP33=""),"",Spells!AP33&amp;" ("&amp;Spells!AQ33&amp;")")</f>
        <v/>
      </c>
      <c r="J521" s="67"/>
      <c r="K521" s="67"/>
      <c r="L521" s="68"/>
      <c r="M521" s="32" t="n">
        <f aca="false">G550+1</f>
        <v>61</v>
      </c>
      <c r="N521" s="268"/>
      <c r="O521" s="67" t="str">
        <f aca="false">IF(OR(T$601&lt;1,Spells!AP63=""),"",Spells!AP63&amp;" ("&amp;Spells!AQ63&amp;")")</f>
        <v/>
      </c>
      <c r="P521" s="67"/>
      <c r="Q521" s="67"/>
      <c r="R521" s="68"/>
      <c r="S521" s="32" t="n">
        <f aca="false">91</f>
        <v>91</v>
      </c>
      <c r="T521" s="268"/>
      <c r="U521" s="67" t="str">
        <f aca="false">IF(OR(T$601&lt;1,Spells!AP93=""),"",Spells!AP93&amp;" ("&amp;Spells!AQ93&amp;")")</f>
        <v/>
      </c>
      <c r="V521" s="67"/>
      <c r="W521" s="67"/>
      <c r="X521" s="68"/>
      <c r="Y521" s="32" t="n">
        <v>121</v>
      </c>
      <c r="AA521" s="268"/>
      <c r="AB521" s="67" t="str">
        <f aca="false">IF(OR(T$601&lt;1,Spells!AP123=""),"",Spells!AP123&amp;" ("&amp;Spells!AQ123&amp;")")</f>
        <v/>
      </c>
      <c r="AC521" s="67"/>
      <c r="AD521" s="67"/>
      <c r="AE521" s="68"/>
      <c r="CN521" s="32"/>
      <c r="CO521" s="32"/>
    </row>
    <row r="522" customFormat="false" ht="12.75" hidden="false" customHeight="false" outlineLevel="0" collapsed="false">
      <c r="A522" s="32" t="n">
        <v>2</v>
      </c>
      <c r="B522" s="268"/>
      <c r="C522" s="67" t="str">
        <f aca="false">IF(OR(T$601&lt;1,Spells!AP4=""),"",Spells!AP4&amp;" ("&amp;Spells!AQ4&amp;")")</f>
        <v/>
      </c>
      <c r="D522" s="67"/>
      <c r="E522" s="67"/>
      <c r="F522" s="68"/>
      <c r="G522" s="32" t="n">
        <f aca="false">G521+1</f>
        <v>32</v>
      </c>
      <c r="H522" s="268"/>
      <c r="I522" s="67" t="str">
        <f aca="false">IF(OR(T$601&lt;1,Spells!AP34=""),"",Spells!AP34&amp;" ("&amp;Spells!AQ34&amp;")")</f>
        <v/>
      </c>
      <c r="J522" s="67"/>
      <c r="K522" s="67"/>
      <c r="L522" s="68"/>
      <c r="M522" s="32" t="n">
        <f aca="false">M521+1</f>
        <v>62</v>
      </c>
      <c r="N522" s="268"/>
      <c r="O522" s="67" t="str">
        <f aca="false">IF(OR(T$601&lt;1,Spells!AP64=""),"",Spells!AP64&amp;" ("&amp;Spells!AQ64&amp;")")</f>
        <v/>
      </c>
      <c r="P522" s="67"/>
      <c r="Q522" s="67"/>
      <c r="R522" s="68"/>
      <c r="S522" s="32" t="n">
        <f aca="false">S521+1</f>
        <v>92</v>
      </c>
      <c r="T522" s="268"/>
      <c r="U522" s="67" t="str">
        <f aca="false">IF(OR(T$601&lt;1,Spells!AP94=""),"",Spells!AP94&amp;" ("&amp;Spells!AQ94&amp;")")</f>
        <v/>
      </c>
      <c r="V522" s="67"/>
      <c r="W522" s="67"/>
      <c r="X522" s="68"/>
      <c r="Y522" s="32" t="n">
        <v>122</v>
      </c>
      <c r="AA522" s="268"/>
      <c r="AB522" s="67" t="str">
        <f aca="false">IF(OR(T$601&lt;1,Spells!AP124=""),"",Spells!AP124&amp;" ("&amp;Spells!AQ124&amp;")")</f>
        <v/>
      </c>
      <c r="AC522" s="67"/>
      <c r="AD522" s="67"/>
      <c r="AE522" s="68"/>
      <c r="CN522" s="32"/>
      <c r="CO522" s="32"/>
    </row>
    <row r="523" customFormat="false" ht="12.75" hidden="false" customHeight="false" outlineLevel="0" collapsed="false">
      <c r="A523" s="32" t="n">
        <f aca="false">A522+1</f>
        <v>3</v>
      </c>
      <c r="B523" s="268"/>
      <c r="C523" s="67" t="str">
        <f aca="false">IF(OR(T$601&lt;1,Spells!AP5=""),"",Spells!AP5&amp;" ("&amp;Spells!AQ5&amp;")")</f>
        <v/>
      </c>
      <c r="D523" s="67"/>
      <c r="E523" s="67"/>
      <c r="F523" s="68"/>
      <c r="G523" s="32" t="n">
        <f aca="false">G522+1</f>
        <v>33</v>
      </c>
      <c r="H523" s="268"/>
      <c r="I523" s="67" t="str">
        <f aca="false">IF(OR(T$601&lt;1,Spells!AP35=""),"",Spells!AP35&amp;" ("&amp;Spells!AQ35&amp;")")</f>
        <v/>
      </c>
      <c r="J523" s="67"/>
      <c r="K523" s="67"/>
      <c r="L523" s="68"/>
      <c r="M523" s="32" t="n">
        <f aca="false">M522+1</f>
        <v>63</v>
      </c>
      <c r="N523" s="268"/>
      <c r="O523" s="67" t="str">
        <f aca="false">IF(OR(T$601&lt;1,Spells!AP65=""),"",Spells!AP65&amp;" ("&amp;Spells!AQ65&amp;")")</f>
        <v/>
      </c>
      <c r="P523" s="67"/>
      <c r="Q523" s="67"/>
      <c r="R523" s="68"/>
      <c r="S523" s="32" t="n">
        <f aca="false">S522+1</f>
        <v>93</v>
      </c>
      <c r="T523" s="268"/>
      <c r="U523" s="67" t="str">
        <f aca="false">IF(OR(T$601&lt;1,Spells!AP95=""),"",Spells!AP95&amp;" ("&amp;Spells!AQ95&amp;")")</f>
        <v/>
      </c>
      <c r="V523" s="67"/>
      <c r="W523" s="67"/>
      <c r="X523" s="68"/>
      <c r="Y523" s="32" t="n">
        <v>123</v>
      </c>
      <c r="AA523" s="268"/>
      <c r="AB523" s="67" t="str">
        <f aca="false">IF(OR(T$601&lt;1,Spells!AP125=""),"",Spells!AP125&amp;" ("&amp;Spells!AQ125&amp;")")</f>
        <v/>
      </c>
      <c r="AC523" s="67"/>
      <c r="AD523" s="67"/>
      <c r="AE523" s="68"/>
      <c r="CN523" s="32"/>
      <c r="CO523" s="32"/>
    </row>
    <row r="524" customFormat="false" ht="12.75" hidden="false" customHeight="false" outlineLevel="0" collapsed="false">
      <c r="A524" s="32" t="n">
        <f aca="false">A523+1</f>
        <v>4</v>
      </c>
      <c r="B524" s="268"/>
      <c r="C524" s="67" t="str">
        <f aca="false">IF(OR(T$601&lt;1,Spells!AP6=""),"",Spells!AP6&amp;" ("&amp;Spells!AQ6&amp;")")</f>
        <v/>
      </c>
      <c r="D524" s="67"/>
      <c r="E524" s="67"/>
      <c r="F524" s="68"/>
      <c r="G524" s="32" t="n">
        <f aca="false">G523+1</f>
        <v>34</v>
      </c>
      <c r="H524" s="268"/>
      <c r="I524" s="67" t="str">
        <f aca="false">IF(OR(T$601&lt;1,Spells!AP36=""),"",Spells!AP36&amp;" ("&amp;Spells!AQ36&amp;")")</f>
        <v/>
      </c>
      <c r="J524" s="67"/>
      <c r="K524" s="67"/>
      <c r="L524" s="68"/>
      <c r="M524" s="32" t="n">
        <f aca="false">M523+1</f>
        <v>64</v>
      </c>
      <c r="N524" s="268"/>
      <c r="O524" s="67" t="str">
        <f aca="false">IF(OR(T$601&lt;1,Spells!AP66=""),"",Spells!AP66&amp;" ("&amp;Spells!AQ66&amp;")")</f>
        <v/>
      </c>
      <c r="P524" s="67"/>
      <c r="Q524" s="67"/>
      <c r="R524" s="68"/>
      <c r="S524" s="32" t="n">
        <f aca="false">S523+1</f>
        <v>94</v>
      </c>
      <c r="T524" s="268"/>
      <c r="U524" s="67" t="str">
        <f aca="false">IF(OR(T$601&lt;1,Spells!AP96=""),"",Spells!AP96&amp;" ("&amp;Spells!AQ96&amp;")")</f>
        <v/>
      </c>
      <c r="V524" s="67"/>
      <c r="W524" s="67"/>
      <c r="X524" s="68"/>
      <c r="Y524" s="56" t="n">
        <v>124</v>
      </c>
      <c r="Z524" s="56"/>
      <c r="AA524" s="268"/>
      <c r="AB524" s="67" t="str">
        <f aca="false">IF(OR(T$601&lt;1,Spells!AP126=""),"",Spells!AP126&amp;" ("&amp;Spells!AQ126&amp;")")</f>
        <v/>
      </c>
      <c r="AC524" s="67"/>
      <c r="AD524" s="67"/>
      <c r="AE524" s="68"/>
      <c r="CN524" s="32"/>
      <c r="CO524" s="32"/>
    </row>
    <row r="525" customFormat="false" ht="12.75" hidden="false" customHeight="false" outlineLevel="0" collapsed="false">
      <c r="A525" s="32" t="n">
        <f aca="false">A524+1</f>
        <v>5</v>
      </c>
      <c r="B525" s="268"/>
      <c r="C525" s="67" t="str">
        <f aca="false">IF(OR(T$601&lt;1,Spells!AP7=""),"",Spells!AP7&amp;" ("&amp;Spells!AQ7&amp;")")</f>
        <v/>
      </c>
      <c r="D525" s="67"/>
      <c r="E525" s="67"/>
      <c r="F525" s="68"/>
      <c r="G525" s="32" t="n">
        <f aca="false">G524+1</f>
        <v>35</v>
      </c>
      <c r="H525" s="268"/>
      <c r="I525" s="67" t="str">
        <f aca="false">IF(OR(T$601&lt;1,Spells!AP37=""),"",Spells!AP37&amp;" ("&amp;Spells!AQ37&amp;")")</f>
        <v/>
      </c>
      <c r="J525" s="67"/>
      <c r="K525" s="67"/>
      <c r="L525" s="68"/>
      <c r="M525" s="32" t="n">
        <f aca="false">M524+1</f>
        <v>65</v>
      </c>
      <c r="N525" s="268"/>
      <c r="O525" s="67" t="str">
        <f aca="false">IF(OR(T$601&lt;1,Spells!AP67=""),"",Spells!AP67&amp;" ("&amp;Spells!AQ67&amp;")")</f>
        <v/>
      </c>
      <c r="P525" s="67"/>
      <c r="Q525" s="67"/>
      <c r="R525" s="68"/>
      <c r="S525" s="32" t="n">
        <f aca="false">S524+1</f>
        <v>95</v>
      </c>
      <c r="T525" s="268"/>
      <c r="U525" s="67" t="str">
        <f aca="false">IF(OR(T$601&lt;1,Spells!AP97=""),"",Spells!AP97&amp;" ("&amp;Spells!AQ97&amp;")")</f>
        <v/>
      </c>
      <c r="V525" s="67"/>
      <c r="W525" s="67"/>
      <c r="X525" s="68"/>
      <c r="Y525" s="56" t="n">
        <v>125</v>
      </c>
      <c r="Z525" s="56"/>
      <c r="AA525" s="268"/>
      <c r="AB525" s="67" t="str">
        <f aca="false">IF(OR(T$601&lt;1,Spells!AP127=""),"",Spells!AP127&amp;" ("&amp;Spells!AQ127&amp;")")</f>
        <v/>
      </c>
      <c r="AC525" s="67"/>
      <c r="AD525" s="67"/>
      <c r="AE525" s="68"/>
      <c r="CN525" s="32"/>
      <c r="CO525" s="32"/>
    </row>
    <row r="526" customFormat="false" ht="12.75" hidden="false" customHeight="false" outlineLevel="0" collapsed="false">
      <c r="A526" s="32" t="n">
        <f aca="false">A525+1</f>
        <v>6</v>
      </c>
      <c r="B526" s="268"/>
      <c r="C526" s="67" t="str">
        <f aca="false">IF(OR(T$601&lt;1,Spells!AP8=""),"",Spells!AP8&amp;" ("&amp;Spells!AQ8&amp;")")</f>
        <v/>
      </c>
      <c r="D526" s="67"/>
      <c r="E526" s="67"/>
      <c r="F526" s="68"/>
      <c r="G526" s="32" t="n">
        <f aca="false">G525+1</f>
        <v>36</v>
      </c>
      <c r="H526" s="268"/>
      <c r="I526" s="67" t="str">
        <f aca="false">IF(OR(T$601&lt;1,Spells!AP38=""),"",Spells!AP38&amp;" ("&amp;Spells!AQ38&amp;")")</f>
        <v/>
      </c>
      <c r="J526" s="67"/>
      <c r="K526" s="67"/>
      <c r="L526" s="68"/>
      <c r="M526" s="32" t="n">
        <f aca="false">M525+1</f>
        <v>66</v>
      </c>
      <c r="N526" s="268"/>
      <c r="O526" s="67" t="str">
        <f aca="false">IF(OR(T$601&lt;1,Spells!AP68=""),"",Spells!AP68&amp;" ("&amp;Spells!AQ68&amp;")")</f>
        <v/>
      </c>
      <c r="P526" s="67"/>
      <c r="Q526" s="67"/>
      <c r="R526" s="68"/>
      <c r="S526" s="32" t="n">
        <f aca="false">S525+1</f>
        <v>96</v>
      </c>
      <c r="T526" s="268"/>
      <c r="U526" s="67" t="str">
        <f aca="false">IF(OR(T$601&lt;1,Spells!AP98=""),"",Spells!AP98&amp;" ("&amp;Spells!AQ98&amp;")")</f>
        <v/>
      </c>
      <c r="V526" s="67"/>
      <c r="W526" s="67"/>
      <c r="X526" s="68"/>
      <c r="Y526" s="56" t="n">
        <v>126</v>
      </c>
      <c r="Z526" s="56"/>
      <c r="AA526" s="268"/>
      <c r="AB526" s="67" t="str">
        <f aca="false">IF(OR(T$601&lt;1,Spells!AP128=""),"",Spells!AP128&amp;" ("&amp;Spells!AQ128&amp;")")</f>
        <v/>
      </c>
      <c r="AC526" s="67"/>
      <c r="AD526" s="67"/>
      <c r="AE526" s="68"/>
      <c r="CN526" s="32"/>
      <c r="CO526" s="32"/>
    </row>
    <row r="527" customFormat="false" ht="12.75" hidden="false" customHeight="false" outlineLevel="0" collapsed="false">
      <c r="A527" s="32" t="n">
        <f aca="false">A526+1</f>
        <v>7</v>
      </c>
      <c r="B527" s="268"/>
      <c r="C527" s="67" t="str">
        <f aca="false">IF(OR(T$601&lt;1,Spells!AP9=""),"",Spells!AP9&amp;" ("&amp;Spells!AQ9&amp;")")</f>
        <v/>
      </c>
      <c r="D527" s="67"/>
      <c r="E527" s="67"/>
      <c r="F527" s="68"/>
      <c r="G527" s="32" t="n">
        <f aca="false">G526+1</f>
        <v>37</v>
      </c>
      <c r="H527" s="268"/>
      <c r="I527" s="67" t="str">
        <f aca="false">IF(OR(T$601&lt;1,Spells!AP39=""),"",Spells!AP39&amp;" ("&amp;Spells!AQ39&amp;")")</f>
        <v/>
      </c>
      <c r="J527" s="67"/>
      <c r="K527" s="67"/>
      <c r="L527" s="68"/>
      <c r="M527" s="32" t="n">
        <f aca="false">M526+1</f>
        <v>67</v>
      </c>
      <c r="N527" s="268"/>
      <c r="O527" s="67" t="str">
        <f aca="false">IF(OR(T$601&lt;1,Spells!AP69=""),"",Spells!AP69&amp;" ("&amp;Spells!AQ69&amp;")")</f>
        <v/>
      </c>
      <c r="P527" s="67"/>
      <c r="Q527" s="67"/>
      <c r="R527" s="68"/>
      <c r="S527" s="32" t="n">
        <f aca="false">S526+1</f>
        <v>97</v>
      </c>
      <c r="T527" s="268"/>
      <c r="U527" s="67" t="str">
        <f aca="false">IF(OR(T$601&lt;1,Spells!AP99=""),"",Spells!AP99&amp;" ("&amp;Spells!AQ99&amp;")")</f>
        <v/>
      </c>
      <c r="V527" s="67"/>
      <c r="W527" s="67"/>
      <c r="X527" s="68"/>
      <c r="Y527" s="56" t="n">
        <v>127</v>
      </c>
      <c r="Z527" s="56"/>
      <c r="AA527" s="268"/>
      <c r="AB527" s="67" t="str">
        <f aca="false">IF(OR(T$601&lt;1,Spells!AP129=""),"",Spells!AP129&amp;" ("&amp;Spells!AQ129&amp;")")</f>
        <v/>
      </c>
      <c r="AC527" s="67"/>
      <c r="AD527" s="67"/>
      <c r="AE527" s="68"/>
      <c r="CN527" s="32"/>
      <c r="CO527" s="32"/>
    </row>
    <row r="528" customFormat="false" ht="12.75" hidden="false" customHeight="false" outlineLevel="0" collapsed="false">
      <c r="A528" s="32" t="n">
        <f aca="false">A527+1</f>
        <v>8</v>
      </c>
      <c r="B528" s="268"/>
      <c r="C528" s="67" t="str">
        <f aca="false">IF(OR(T$601&lt;1,Spells!AP10=""),"",Spells!AP10&amp;" ("&amp;Spells!AQ10&amp;")")</f>
        <v/>
      </c>
      <c r="D528" s="67"/>
      <c r="E528" s="67"/>
      <c r="F528" s="68"/>
      <c r="G528" s="32" t="n">
        <f aca="false">G527+1</f>
        <v>38</v>
      </c>
      <c r="H528" s="268"/>
      <c r="I528" s="67" t="str">
        <f aca="false">IF(OR(T$601&lt;1,Spells!AP40=""),"",Spells!AP40&amp;" ("&amp;Spells!AQ40&amp;")")</f>
        <v/>
      </c>
      <c r="J528" s="67"/>
      <c r="K528" s="67"/>
      <c r="L528" s="68"/>
      <c r="M528" s="32" t="n">
        <f aca="false">M527+1</f>
        <v>68</v>
      </c>
      <c r="N528" s="268"/>
      <c r="O528" s="67" t="str">
        <f aca="false">IF(OR(T$601&lt;1,Spells!AP70=""),"",Spells!AP70&amp;" ("&amp;Spells!AQ70&amp;")")</f>
        <v/>
      </c>
      <c r="P528" s="67"/>
      <c r="Q528" s="67"/>
      <c r="R528" s="68"/>
      <c r="S528" s="32" t="n">
        <f aca="false">S527+1</f>
        <v>98</v>
      </c>
      <c r="T528" s="268"/>
      <c r="U528" s="67" t="str">
        <f aca="false">IF(OR(T$601&lt;1,Spells!AP100=""),"",Spells!AP100&amp;" ("&amp;Spells!AQ100&amp;")")</f>
        <v/>
      </c>
      <c r="V528" s="67"/>
      <c r="W528" s="67"/>
      <c r="X528" s="68"/>
      <c r="Y528" s="56" t="n">
        <v>128</v>
      </c>
      <c r="Z528" s="56"/>
      <c r="AA528" s="268"/>
      <c r="AB528" s="67" t="str">
        <f aca="false">IF(OR(T$601&lt;1,Spells!AP130=""),"",Spells!AP130&amp;" ("&amp;Spells!AQ130&amp;")")</f>
        <v/>
      </c>
      <c r="AC528" s="94"/>
      <c r="AD528" s="94"/>
      <c r="AE528" s="96"/>
      <c r="CN528" s="32"/>
      <c r="CO528" s="32"/>
    </row>
    <row r="529" customFormat="false" ht="12.75" hidden="false" customHeight="false" outlineLevel="0" collapsed="false">
      <c r="A529" s="32" t="n">
        <f aca="false">A528+1</f>
        <v>9</v>
      </c>
      <c r="B529" s="268"/>
      <c r="C529" s="67" t="str">
        <f aca="false">IF(OR(T$601&lt;1,Spells!AP11=""),"",Spells!AP11&amp;" ("&amp;Spells!AQ11&amp;")")</f>
        <v/>
      </c>
      <c r="D529" s="67"/>
      <c r="E529" s="67"/>
      <c r="F529" s="68"/>
      <c r="G529" s="32" t="n">
        <f aca="false">G528+1</f>
        <v>39</v>
      </c>
      <c r="H529" s="268"/>
      <c r="I529" s="67" t="str">
        <f aca="false">IF(OR(T$601&lt;1,Spells!AP41=""),"",Spells!AP41&amp;" ("&amp;Spells!AQ41&amp;")")</f>
        <v/>
      </c>
      <c r="J529" s="67"/>
      <c r="K529" s="67"/>
      <c r="L529" s="68"/>
      <c r="M529" s="32" t="n">
        <f aca="false">M528+1</f>
        <v>69</v>
      </c>
      <c r="N529" s="268"/>
      <c r="O529" s="67" t="str">
        <f aca="false">IF(OR(T$601&lt;1,Spells!AP71=""),"",Spells!AP71&amp;" ("&amp;Spells!AQ71&amp;")")</f>
        <v/>
      </c>
      <c r="P529" s="67"/>
      <c r="Q529" s="67"/>
      <c r="R529" s="68"/>
      <c r="S529" s="32" t="n">
        <f aca="false">S528+1</f>
        <v>99</v>
      </c>
      <c r="T529" s="268"/>
      <c r="U529" s="67" t="str">
        <f aca="false">IF(OR(T$601&lt;1,Spells!AP101=""),"",Spells!AP101&amp;" ("&amp;Spells!AQ101&amp;")")</f>
        <v/>
      </c>
      <c r="V529" s="67"/>
      <c r="W529" s="67"/>
      <c r="X529" s="68"/>
      <c r="CN529" s="32"/>
      <c r="CO529" s="32"/>
    </row>
    <row r="530" customFormat="false" ht="12.75" hidden="false" customHeight="false" outlineLevel="0" collapsed="false">
      <c r="A530" s="32" t="n">
        <f aca="false">A529+1</f>
        <v>10</v>
      </c>
      <c r="B530" s="268"/>
      <c r="C530" s="67" t="str">
        <f aca="false">IF(OR(T$601&lt;1,Spells!AP12=""),"",Spells!AP12&amp;" ("&amp;Spells!AQ12&amp;")")</f>
        <v/>
      </c>
      <c r="D530" s="67"/>
      <c r="E530" s="67"/>
      <c r="F530" s="68"/>
      <c r="G530" s="32" t="n">
        <f aca="false">G529+1</f>
        <v>40</v>
      </c>
      <c r="H530" s="268"/>
      <c r="I530" s="67" t="str">
        <f aca="false">IF(OR(T$601&lt;1,Spells!AP42=""),"",Spells!AP42&amp;" ("&amp;Spells!AQ42&amp;")")</f>
        <v/>
      </c>
      <c r="J530" s="67"/>
      <c r="K530" s="67"/>
      <c r="L530" s="68"/>
      <c r="M530" s="32" t="n">
        <f aca="false">M529+1</f>
        <v>70</v>
      </c>
      <c r="N530" s="268"/>
      <c r="O530" s="67" t="str">
        <f aca="false">IF(OR(T$601&lt;1,Spells!AP72=""),"",Spells!AP72&amp;" ("&amp;Spells!AQ72&amp;")")</f>
        <v/>
      </c>
      <c r="P530" s="67"/>
      <c r="Q530" s="67"/>
      <c r="R530" s="68"/>
      <c r="S530" s="32" t="n">
        <f aca="false">S529+1</f>
        <v>100</v>
      </c>
      <c r="T530" s="268"/>
      <c r="U530" s="67" t="str">
        <f aca="false">IF(OR(T$601&lt;1,Spells!AP102=""),"",Spells!AP102&amp;" ("&amp;Spells!AQ102&amp;")")</f>
        <v/>
      </c>
      <c r="V530" s="67"/>
      <c r="W530" s="67"/>
      <c r="X530" s="68"/>
      <c r="CN530" s="32"/>
      <c r="CO530" s="32"/>
    </row>
    <row r="531" customFormat="false" ht="12.75" hidden="false" customHeight="false" outlineLevel="0" collapsed="false">
      <c r="A531" s="32" t="n">
        <f aca="false">A530+1</f>
        <v>11</v>
      </c>
      <c r="B531" s="268"/>
      <c r="C531" s="67" t="str">
        <f aca="false">IF(OR(T$601&lt;1,Spells!AP13=""),"",Spells!AP13&amp;" ("&amp;Spells!AQ13&amp;")")</f>
        <v/>
      </c>
      <c r="D531" s="67"/>
      <c r="E531" s="67"/>
      <c r="F531" s="68"/>
      <c r="G531" s="32" t="n">
        <f aca="false">G530+1</f>
        <v>41</v>
      </c>
      <c r="H531" s="268"/>
      <c r="I531" s="67" t="str">
        <f aca="false">IF(OR(T$601&lt;1,Spells!AP43=""),"",Spells!AP43&amp;" ("&amp;Spells!AQ43&amp;")")</f>
        <v/>
      </c>
      <c r="J531" s="67"/>
      <c r="K531" s="67"/>
      <c r="L531" s="68"/>
      <c r="M531" s="32" t="n">
        <f aca="false">M530+1</f>
        <v>71</v>
      </c>
      <c r="N531" s="268"/>
      <c r="O531" s="67" t="str">
        <f aca="false">IF(OR(T$601&lt;1,Spells!AP73=""),"",Spells!AP73&amp;" ("&amp;Spells!AQ73&amp;")")</f>
        <v/>
      </c>
      <c r="P531" s="67"/>
      <c r="Q531" s="67"/>
      <c r="R531" s="68"/>
      <c r="S531" s="32" t="n">
        <f aca="false">S530+1</f>
        <v>101</v>
      </c>
      <c r="T531" s="268"/>
      <c r="U531" s="67" t="str">
        <f aca="false">IF(OR(T$601&lt;1,Spells!AP103=""),"",Spells!AP103&amp;" ("&amp;Spells!AQ103&amp;")")</f>
        <v/>
      </c>
      <c r="V531" s="67"/>
      <c r="W531" s="67"/>
      <c r="X531" s="68"/>
      <c r="CN531" s="32"/>
      <c r="CO531" s="32"/>
    </row>
    <row r="532" customFormat="false" ht="12.75" hidden="false" customHeight="false" outlineLevel="0" collapsed="false">
      <c r="A532" s="32" t="n">
        <f aca="false">A531+1</f>
        <v>12</v>
      </c>
      <c r="B532" s="268"/>
      <c r="C532" s="67" t="str">
        <f aca="false">IF(OR(T$601&lt;1,Spells!AP14=""),"",Spells!AP14&amp;" ("&amp;Spells!AQ14&amp;")")</f>
        <v/>
      </c>
      <c r="D532" s="67"/>
      <c r="E532" s="67"/>
      <c r="F532" s="68"/>
      <c r="G532" s="32" t="n">
        <f aca="false">G531+1</f>
        <v>42</v>
      </c>
      <c r="H532" s="268"/>
      <c r="I532" s="67" t="str">
        <f aca="false">IF(OR(T$601&lt;1,Spells!AP44=""),"",Spells!AP44&amp;" ("&amp;Spells!AQ44&amp;")")</f>
        <v/>
      </c>
      <c r="J532" s="67"/>
      <c r="K532" s="67"/>
      <c r="L532" s="68"/>
      <c r="M532" s="32" t="n">
        <f aca="false">M531+1</f>
        <v>72</v>
      </c>
      <c r="N532" s="268"/>
      <c r="O532" s="67" t="str">
        <f aca="false">IF(OR(T$601&lt;1,Spells!AP74=""),"",Spells!AP74&amp;" ("&amp;Spells!AQ74&amp;")")</f>
        <v/>
      </c>
      <c r="P532" s="67"/>
      <c r="Q532" s="67"/>
      <c r="R532" s="68"/>
      <c r="S532" s="32" t="n">
        <f aca="false">S531+1</f>
        <v>102</v>
      </c>
      <c r="T532" s="268"/>
      <c r="U532" s="67" t="str">
        <f aca="false">IF(OR(T$601&lt;1,Spells!AP104=""),"",Spells!AP104&amp;" ("&amp;Spells!AQ104&amp;")")</f>
        <v/>
      </c>
      <c r="V532" s="67"/>
      <c r="W532" s="67"/>
      <c r="X532" s="68"/>
      <c r="CN532" s="32"/>
      <c r="CO532" s="32"/>
    </row>
    <row r="533" customFormat="false" ht="12.75" hidden="false" customHeight="false" outlineLevel="0" collapsed="false">
      <c r="A533" s="32" t="n">
        <f aca="false">A532+1</f>
        <v>13</v>
      </c>
      <c r="B533" s="268"/>
      <c r="C533" s="67" t="str">
        <f aca="false">IF(OR(T$601&lt;1,Spells!AP15=""),"",Spells!AP15&amp;" ("&amp;Spells!AQ15&amp;")")</f>
        <v/>
      </c>
      <c r="D533" s="67"/>
      <c r="E533" s="67"/>
      <c r="F533" s="68"/>
      <c r="G533" s="32" t="n">
        <f aca="false">G532+1</f>
        <v>43</v>
      </c>
      <c r="H533" s="268"/>
      <c r="I533" s="67" t="str">
        <f aca="false">IF(OR(T$601&lt;1,Spells!AP45=""),"",Spells!AP45&amp;" ("&amp;Spells!AQ45&amp;")")</f>
        <v/>
      </c>
      <c r="J533" s="67"/>
      <c r="K533" s="67"/>
      <c r="L533" s="68"/>
      <c r="M533" s="32" t="n">
        <f aca="false">M532+1</f>
        <v>73</v>
      </c>
      <c r="N533" s="268"/>
      <c r="O533" s="67" t="str">
        <f aca="false">IF(OR(T$601&lt;1,Spells!AP75=""),"",Spells!AP75&amp;" ("&amp;Spells!AQ75&amp;")")</f>
        <v/>
      </c>
      <c r="P533" s="67"/>
      <c r="Q533" s="67"/>
      <c r="R533" s="68"/>
      <c r="S533" s="32" t="n">
        <f aca="false">S532+1</f>
        <v>103</v>
      </c>
      <c r="T533" s="268"/>
      <c r="U533" s="67" t="str">
        <f aca="false">IF(OR(T$601&lt;1,Spells!AP105=""),"",Spells!AP105&amp;" ("&amp;Spells!AQ105&amp;")")</f>
        <v/>
      </c>
      <c r="V533" s="67"/>
      <c r="W533" s="67"/>
      <c r="X533" s="68"/>
      <c r="CN533" s="32"/>
      <c r="CO533" s="32"/>
    </row>
    <row r="534" customFormat="false" ht="12.75" hidden="false" customHeight="false" outlineLevel="0" collapsed="false">
      <c r="A534" s="32" t="n">
        <f aca="false">A533+1</f>
        <v>14</v>
      </c>
      <c r="B534" s="268"/>
      <c r="C534" s="67" t="str">
        <f aca="false">IF(OR(T$601&lt;1,Spells!AP16=""),"",Spells!AP16&amp;" ("&amp;Spells!AQ16&amp;")")</f>
        <v/>
      </c>
      <c r="D534" s="67"/>
      <c r="E534" s="67"/>
      <c r="F534" s="68"/>
      <c r="G534" s="32" t="n">
        <f aca="false">G533+1</f>
        <v>44</v>
      </c>
      <c r="H534" s="268"/>
      <c r="I534" s="67" t="str">
        <f aca="false">IF(OR(T$601&lt;1,Spells!AP46=""),"",Spells!AP46&amp;" ("&amp;Spells!AQ46&amp;")")</f>
        <v/>
      </c>
      <c r="J534" s="67"/>
      <c r="K534" s="67"/>
      <c r="L534" s="68"/>
      <c r="M534" s="32" t="n">
        <f aca="false">M533+1</f>
        <v>74</v>
      </c>
      <c r="N534" s="268"/>
      <c r="O534" s="67" t="str">
        <f aca="false">IF(OR(T$601&lt;1,Spells!AP76=""),"",Spells!AP76&amp;" ("&amp;Spells!AQ76&amp;")")</f>
        <v/>
      </c>
      <c r="P534" s="67"/>
      <c r="Q534" s="67"/>
      <c r="R534" s="68"/>
      <c r="S534" s="32" t="n">
        <f aca="false">S533+1</f>
        <v>104</v>
      </c>
      <c r="T534" s="268"/>
      <c r="U534" s="67" t="str">
        <f aca="false">IF(OR(T$601&lt;1,Spells!AP106=""),"",Spells!AP106&amp;" ("&amp;Spells!AQ106&amp;")")</f>
        <v/>
      </c>
      <c r="V534" s="67"/>
      <c r="W534" s="67"/>
      <c r="X534" s="68"/>
      <c r="CN534" s="32"/>
      <c r="CO534" s="32"/>
    </row>
    <row r="535" customFormat="false" ht="12.75" hidden="false" customHeight="false" outlineLevel="0" collapsed="false">
      <c r="A535" s="32" t="n">
        <f aca="false">A534+1</f>
        <v>15</v>
      </c>
      <c r="B535" s="268"/>
      <c r="C535" s="67" t="str">
        <f aca="false">IF(OR(T$601&lt;1,Spells!AP17=""),"",Spells!AP17&amp;" ("&amp;Spells!AQ17&amp;")")</f>
        <v/>
      </c>
      <c r="D535" s="67"/>
      <c r="E535" s="67"/>
      <c r="F535" s="68"/>
      <c r="G535" s="32" t="n">
        <f aca="false">G534+1</f>
        <v>45</v>
      </c>
      <c r="H535" s="268"/>
      <c r="I535" s="67" t="str">
        <f aca="false">IF(OR(T$601&lt;1,Spells!AP47=""),"",Spells!AP47&amp;" ("&amp;Spells!AQ47&amp;")")</f>
        <v/>
      </c>
      <c r="J535" s="67"/>
      <c r="K535" s="67"/>
      <c r="L535" s="68"/>
      <c r="M535" s="32" t="n">
        <f aca="false">M534+1</f>
        <v>75</v>
      </c>
      <c r="N535" s="268"/>
      <c r="O535" s="67" t="str">
        <f aca="false">IF(OR(T$601&lt;1,Spells!AP77=""),"",Spells!AP77&amp;" ("&amp;Spells!AQ77&amp;")")</f>
        <v/>
      </c>
      <c r="P535" s="67"/>
      <c r="Q535" s="67"/>
      <c r="R535" s="68"/>
      <c r="S535" s="32" t="n">
        <f aca="false">S534+1</f>
        <v>105</v>
      </c>
      <c r="T535" s="268"/>
      <c r="U535" s="67" t="str">
        <f aca="false">IF(OR(T$601&lt;1,Spells!AP107=""),"",Spells!AP107&amp;" ("&amp;Spells!AQ107&amp;")")</f>
        <v/>
      </c>
      <c r="V535" s="67"/>
      <c r="W535" s="67"/>
      <c r="X535" s="68"/>
      <c r="CN535" s="32"/>
      <c r="CO535" s="32"/>
    </row>
    <row r="536" customFormat="false" ht="12.75" hidden="false" customHeight="false" outlineLevel="0" collapsed="false">
      <c r="A536" s="32" t="n">
        <f aca="false">A535+1</f>
        <v>16</v>
      </c>
      <c r="B536" s="268"/>
      <c r="C536" s="67" t="str">
        <f aca="false">IF(OR(T$601&lt;1,Spells!AP18=""),"",Spells!AP18&amp;" ("&amp;Spells!AQ18&amp;")")</f>
        <v/>
      </c>
      <c r="D536" s="67"/>
      <c r="E536" s="67"/>
      <c r="F536" s="68"/>
      <c r="G536" s="32" t="n">
        <f aca="false">G535+1</f>
        <v>46</v>
      </c>
      <c r="H536" s="268"/>
      <c r="I536" s="67" t="str">
        <f aca="false">IF(OR(T$601&lt;1,Spells!AP48=""),"",Spells!AP48&amp;" ("&amp;Spells!AQ48&amp;")")</f>
        <v/>
      </c>
      <c r="J536" s="67"/>
      <c r="K536" s="67"/>
      <c r="L536" s="68"/>
      <c r="M536" s="32" t="n">
        <f aca="false">M535+1</f>
        <v>76</v>
      </c>
      <c r="N536" s="268"/>
      <c r="O536" s="67" t="str">
        <f aca="false">IF(OR(T$601&lt;1,Spells!AP78=""),"",Spells!AP78&amp;" ("&amp;Spells!AQ78&amp;")")</f>
        <v/>
      </c>
      <c r="P536" s="67"/>
      <c r="Q536" s="67"/>
      <c r="R536" s="68"/>
      <c r="S536" s="32" t="n">
        <f aca="false">S535+1</f>
        <v>106</v>
      </c>
      <c r="T536" s="268"/>
      <c r="U536" s="67" t="str">
        <f aca="false">IF(OR(T$601&lt;1,Spells!AP108=""),"",Spells!AP108&amp;" ("&amp;Spells!AQ108&amp;")")</f>
        <v/>
      </c>
      <c r="V536" s="67"/>
      <c r="W536" s="67"/>
      <c r="X536" s="68"/>
      <c r="CN536" s="32"/>
      <c r="CO536" s="32"/>
    </row>
    <row r="537" customFormat="false" ht="12.75" hidden="false" customHeight="false" outlineLevel="0" collapsed="false">
      <c r="A537" s="32" t="n">
        <f aca="false">A536+1</f>
        <v>17</v>
      </c>
      <c r="B537" s="268"/>
      <c r="C537" s="67" t="str">
        <f aca="false">IF(OR(T$601&lt;1,Spells!AP19=""),"",Spells!AP19&amp;" ("&amp;Spells!AQ19&amp;")")</f>
        <v/>
      </c>
      <c r="D537" s="67"/>
      <c r="E537" s="67"/>
      <c r="F537" s="68"/>
      <c r="G537" s="32" t="n">
        <f aca="false">G536+1</f>
        <v>47</v>
      </c>
      <c r="H537" s="268"/>
      <c r="I537" s="67" t="str">
        <f aca="false">IF(OR(T$601&lt;1,Spells!AP49=""),"",Spells!AP49&amp;" ("&amp;Spells!AQ49&amp;")")</f>
        <v/>
      </c>
      <c r="J537" s="67"/>
      <c r="K537" s="67"/>
      <c r="L537" s="68"/>
      <c r="M537" s="32" t="n">
        <f aca="false">M536+1</f>
        <v>77</v>
      </c>
      <c r="N537" s="268"/>
      <c r="O537" s="67" t="str">
        <f aca="false">IF(OR(T$601&lt;1,Spells!AP79=""),"",Spells!AP79&amp;" ("&amp;Spells!AQ79&amp;")")</f>
        <v/>
      </c>
      <c r="P537" s="67"/>
      <c r="Q537" s="67"/>
      <c r="R537" s="68"/>
      <c r="S537" s="32" t="n">
        <f aca="false">S536+1</f>
        <v>107</v>
      </c>
      <c r="T537" s="268"/>
      <c r="U537" s="67" t="str">
        <f aca="false">IF(OR(T$601&lt;1,Spells!AP109=""),"",Spells!AP109&amp;" ("&amp;Spells!AQ109&amp;")")</f>
        <v/>
      </c>
      <c r="V537" s="67"/>
      <c r="W537" s="67"/>
      <c r="X537" s="68"/>
      <c r="CN537" s="32"/>
      <c r="CO537" s="32"/>
    </row>
    <row r="538" customFormat="false" ht="12.75" hidden="false" customHeight="false" outlineLevel="0" collapsed="false">
      <c r="A538" s="32" t="n">
        <f aca="false">A537+1</f>
        <v>18</v>
      </c>
      <c r="B538" s="268"/>
      <c r="C538" s="67" t="str">
        <f aca="false">IF(OR(T$601&lt;1,Spells!AP20=""),"",Spells!AP20&amp;" ("&amp;Spells!AQ20&amp;")")</f>
        <v/>
      </c>
      <c r="D538" s="67"/>
      <c r="E538" s="67"/>
      <c r="F538" s="68"/>
      <c r="G538" s="32" t="n">
        <f aca="false">G537+1</f>
        <v>48</v>
      </c>
      <c r="H538" s="268"/>
      <c r="I538" s="67" t="str">
        <f aca="false">IF(OR(T$601&lt;1,Spells!AP50=""),"",Spells!AP50&amp;" ("&amp;Spells!AQ50&amp;")")</f>
        <v/>
      </c>
      <c r="J538" s="67"/>
      <c r="K538" s="67"/>
      <c r="L538" s="68"/>
      <c r="M538" s="32" t="n">
        <f aca="false">M537+1</f>
        <v>78</v>
      </c>
      <c r="N538" s="268"/>
      <c r="O538" s="67" t="str">
        <f aca="false">IF(OR(T$601&lt;1,Spells!AP80=""),"",Spells!AP80&amp;" ("&amp;Spells!AQ80&amp;")")</f>
        <v/>
      </c>
      <c r="P538" s="67"/>
      <c r="Q538" s="67"/>
      <c r="R538" s="68"/>
      <c r="S538" s="32" t="n">
        <f aca="false">S537+1</f>
        <v>108</v>
      </c>
      <c r="T538" s="268"/>
      <c r="U538" s="67" t="str">
        <f aca="false">IF(OR(T$601&lt;1,Spells!AP110=""),"",Spells!AP110&amp;" ("&amp;Spells!AQ110&amp;")")</f>
        <v/>
      </c>
      <c r="V538" s="67"/>
      <c r="W538" s="67"/>
      <c r="X538" s="68"/>
      <c r="CN538" s="32"/>
      <c r="CO538" s="32"/>
    </row>
    <row r="539" customFormat="false" ht="12.75" hidden="false" customHeight="false" outlineLevel="0" collapsed="false">
      <c r="A539" s="32" t="n">
        <f aca="false">A538+1</f>
        <v>19</v>
      </c>
      <c r="B539" s="268"/>
      <c r="C539" s="67" t="str">
        <f aca="false">IF(OR(T$601&lt;1,Spells!AP21=""),"",Spells!AP21&amp;" ("&amp;Spells!AQ21&amp;")")</f>
        <v/>
      </c>
      <c r="D539" s="67"/>
      <c r="E539" s="67"/>
      <c r="F539" s="68"/>
      <c r="G539" s="32" t="n">
        <f aca="false">G538+1</f>
        <v>49</v>
      </c>
      <c r="H539" s="268"/>
      <c r="I539" s="67" t="str">
        <f aca="false">IF(OR(T$601&lt;1,Spells!AP51=""),"",Spells!AP51&amp;" ("&amp;Spells!AQ51&amp;")")</f>
        <v/>
      </c>
      <c r="J539" s="67"/>
      <c r="K539" s="67"/>
      <c r="L539" s="68"/>
      <c r="M539" s="32" t="n">
        <f aca="false">M538+1</f>
        <v>79</v>
      </c>
      <c r="N539" s="268"/>
      <c r="O539" s="67" t="str">
        <f aca="false">IF(OR(T$601&lt;1,Spells!AP81=""),"",Spells!AP81&amp;" ("&amp;Spells!AQ81&amp;")")</f>
        <v/>
      </c>
      <c r="P539" s="67"/>
      <c r="Q539" s="67"/>
      <c r="R539" s="68"/>
      <c r="S539" s="32" t="n">
        <f aca="false">S538+1</f>
        <v>109</v>
      </c>
      <c r="T539" s="268"/>
      <c r="U539" s="67" t="str">
        <f aca="false">IF(OR(T$601&lt;1,Spells!AP111=""),"",Spells!AP111&amp;" ("&amp;Spells!AQ111&amp;")")</f>
        <v/>
      </c>
      <c r="V539" s="67"/>
      <c r="W539" s="67"/>
      <c r="X539" s="68"/>
      <c r="CN539" s="32"/>
      <c r="CO539" s="32"/>
    </row>
    <row r="540" customFormat="false" ht="12.75" hidden="false" customHeight="false" outlineLevel="0" collapsed="false">
      <c r="A540" s="32" t="n">
        <f aca="false">A539+1</f>
        <v>20</v>
      </c>
      <c r="B540" s="268"/>
      <c r="C540" s="67" t="str">
        <f aca="false">IF(OR(T$601&lt;1,Spells!AP22=""),"",Spells!AP22&amp;" ("&amp;Spells!AQ22&amp;")")</f>
        <v/>
      </c>
      <c r="D540" s="67"/>
      <c r="E540" s="67"/>
      <c r="F540" s="68"/>
      <c r="G540" s="32" t="n">
        <f aca="false">G539+1</f>
        <v>50</v>
      </c>
      <c r="H540" s="268"/>
      <c r="I540" s="67" t="str">
        <f aca="false">IF(OR(T$601&lt;1,Spells!AP52=""),"",Spells!AP52&amp;" ("&amp;Spells!AQ52&amp;")")</f>
        <v/>
      </c>
      <c r="J540" s="67"/>
      <c r="K540" s="67"/>
      <c r="L540" s="68"/>
      <c r="M540" s="32" t="n">
        <f aca="false">M539+1</f>
        <v>80</v>
      </c>
      <c r="N540" s="268"/>
      <c r="O540" s="67" t="str">
        <f aca="false">IF(OR(T$601&lt;1,Spells!AP82=""),"",Spells!AP82&amp;" ("&amp;Spells!AQ82&amp;")")</f>
        <v/>
      </c>
      <c r="P540" s="67"/>
      <c r="Q540" s="67"/>
      <c r="R540" s="68"/>
      <c r="S540" s="32" t="n">
        <f aca="false">S539+1</f>
        <v>110</v>
      </c>
      <c r="T540" s="268"/>
      <c r="U540" s="67" t="str">
        <f aca="false">IF(OR(T$601&lt;1,Spells!AP112=""),"",Spells!AP112&amp;" ("&amp;Spells!AQ112&amp;")")</f>
        <v/>
      </c>
      <c r="V540" s="67"/>
      <c r="W540" s="67"/>
      <c r="X540" s="68"/>
      <c r="CN540" s="32"/>
      <c r="CO540" s="32"/>
    </row>
    <row r="541" customFormat="false" ht="12.75" hidden="false" customHeight="false" outlineLevel="0" collapsed="false">
      <c r="A541" s="32" t="n">
        <f aca="false">A540+1</f>
        <v>21</v>
      </c>
      <c r="B541" s="268"/>
      <c r="C541" s="67" t="str">
        <f aca="false">IF(OR(T$601&lt;1,Spells!AP23=""),"",Spells!AP23&amp;" ("&amp;Spells!AQ23&amp;")")</f>
        <v/>
      </c>
      <c r="D541" s="67"/>
      <c r="E541" s="67"/>
      <c r="F541" s="68"/>
      <c r="G541" s="32" t="n">
        <f aca="false">G540+1</f>
        <v>51</v>
      </c>
      <c r="H541" s="268"/>
      <c r="I541" s="67" t="str">
        <f aca="false">IF(OR(T$601&lt;1,Spells!AP53=""),"",Spells!AP53&amp;" ("&amp;Spells!AQ53&amp;")")</f>
        <v/>
      </c>
      <c r="J541" s="67"/>
      <c r="K541" s="67"/>
      <c r="L541" s="68"/>
      <c r="M541" s="32" t="n">
        <f aca="false">M540+1</f>
        <v>81</v>
      </c>
      <c r="N541" s="268"/>
      <c r="O541" s="67" t="str">
        <f aca="false">IF(OR(T$601&lt;1,Spells!AP83=""),"",Spells!AP83&amp;" ("&amp;Spells!AQ83&amp;")")</f>
        <v/>
      </c>
      <c r="P541" s="67"/>
      <c r="Q541" s="67"/>
      <c r="R541" s="68"/>
      <c r="S541" s="32" t="n">
        <f aca="false">S540+1</f>
        <v>111</v>
      </c>
      <c r="T541" s="268"/>
      <c r="U541" s="67" t="str">
        <f aca="false">IF(OR(T$601&lt;1,Spells!AP113=""),"",Spells!AP113&amp;" ("&amp;Spells!AQ113&amp;")")</f>
        <v/>
      </c>
      <c r="V541" s="67"/>
      <c r="W541" s="67"/>
      <c r="X541" s="68"/>
      <c r="CN541" s="32"/>
      <c r="CO541" s="32"/>
    </row>
    <row r="542" customFormat="false" ht="12.75" hidden="false" customHeight="false" outlineLevel="0" collapsed="false">
      <c r="A542" s="32" t="n">
        <f aca="false">A541+1</f>
        <v>22</v>
      </c>
      <c r="B542" s="268"/>
      <c r="C542" s="67" t="str">
        <f aca="false">IF(OR(T$601&lt;1,Spells!AP24=""),"",Spells!AP24&amp;" ("&amp;Spells!AQ24&amp;")")</f>
        <v/>
      </c>
      <c r="D542" s="67"/>
      <c r="E542" s="67"/>
      <c r="F542" s="68"/>
      <c r="G542" s="32" t="n">
        <f aca="false">G541+1</f>
        <v>52</v>
      </c>
      <c r="H542" s="268"/>
      <c r="I542" s="67" t="str">
        <f aca="false">IF(OR(T$601&lt;1,Spells!AP54=""),"",Spells!AP54&amp;" ("&amp;Spells!AQ54&amp;")")</f>
        <v/>
      </c>
      <c r="J542" s="67"/>
      <c r="K542" s="67"/>
      <c r="L542" s="68"/>
      <c r="M542" s="32" t="n">
        <f aca="false">M541+1</f>
        <v>82</v>
      </c>
      <c r="N542" s="268"/>
      <c r="O542" s="67" t="str">
        <f aca="false">IF(OR(T$601&lt;1,Spells!AP84=""),"",Spells!AP84&amp;" ("&amp;Spells!AQ84&amp;")")</f>
        <v/>
      </c>
      <c r="P542" s="67"/>
      <c r="Q542" s="67"/>
      <c r="R542" s="68"/>
      <c r="S542" s="32" t="n">
        <f aca="false">S541+1</f>
        <v>112</v>
      </c>
      <c r="T542" s="268"/>
      <c r="U542" s="67" t="str">
        <f aca="false">IF(OR(T$601&lt;1,Spells!AP114=""),"",Spells!AP114&amp;" ("&amp;Spells!AQ114&amp;")")</f>
        <v/>
      </c>
      <c r="V542" s="67"/>
      <c r="W542" s="67"/>
      <c r="X542" s="68"/>
      <c r="CN542" s="32"/>
      <c r="CO542" s="32"/>
    </row>
    <row r="543" customFormat="false" ht="12.75" hidden="false" customHeight="false" outlineLevel="0" collapsed="false">
      <c r="A543" s="32" t="n">
        <f aca="false">A542+1</f>
        <v>23</v>
      </c>
      <c r="B543" s="268"/>
      <c r="C543" s="67" t="str">
        <f aca="false">IF(OR(T$601&lt;1,Spells!AP25=""),"",Spells!AP25&amp;" ("&amp;Spells!AQ25&amp;")")</f>
        <v/>
      </c>
      <c r="D543" s="67"/>
      <c r="E543" s="67"/>
      <c r="F543" s="68"/>
      <c r="G543" s="32" t="n">
        <f aca="false">G542+1</f>
        <v>53</v>
      </c>
      <c r="H543" s="268"/>
      <c r="I543" s="67" t="str">
        <f aca="false">IF(OR(T$601&lt;1,Spells!AP55=""),"",Spells!AP55&amp;" ("&amp;Spells!AQ55&amp;")")</f>
        <v/>
      </c>
      <c r="J543" s="67"/>
      <c r="K543" s="67"/>
      <c r="L543" s="68"/>
      <c r="M543" s="32" t="n">
        <f aca="false">M542+1</f>
        <v>83</v>
      </c>
      <c r="N543" s="268"/>
      <c r="O543" s="67" t="str">
        <f aca="false">IF(OR(T$601&lt;1,Spells!AP85=""),"",Spells!AP85&amp;" ("&amp;Spells!AQ85&amp;")")</f>
        <v/>
      </c>
      <c r="P543" s="67"/>
      <c r="Q543" s="67"/>
      <c r="R543" s="68"/>
      <c r="S543" s="32" t="n">
        <f aca="false">S542+1</f>
        <v>113</v>
      </c>
      <c r="T543" s="268"/>
      <c r="U543" s="67" t="str">
        <f aca="false">IF(OR(T$601&lt;1,Spells!AP115=""),"",Spells!AP115&amp;" ("&amp;Spells!AQ115&amp;")")</f>
        <v/>
      </c>
      <c r="V543" s="67"/>
      <c r="W543" s="67"/>
      <c r="X543" s="68"/>
      <c r="CN543" s="32"/>
      <c r="CO543" s="32"/>
    </row>
    <row r="544" customFormat="false" ht="12.75" hidden="false" customHeight="false" outlineLevel="0" collapsed="false">
      <c r="A544" s="32" t="n">
        <f aca="false">A543+1</f>
        <v>24</v>
      </c>
      <c r="B544" s="268"/>
      <c r="C544" s="67" t="str">
        <f aca="false">IF(OR(T$601&lt;1,Spells!AP26=""),"",Spells!AP26&amp;" ("&amp;Spells!AQ26&amp;")")</f>
        <v/>
      </c>
      <c r="D544" s="67"/>
      <c r="E544" s="67"/>
      <c r="F544" s="68"/>
      <c r="G544" s="32" t="n">
        <f aca="false">G543+1</f>
        <v>54</v>
      </c>
      <c r="H544" s="268"/>
      <c r="I544" s="67" t="str">
        <f aca="false">IF(OR(T$601&lt;1,Spells!AP56=""),"",Spells!AP56&amp;" ("&amp;Spells!AQ56&amp;")")</f>
        <v/>
      </c>
      <c r="J544" s="67"/>
      <c r="K544" s="67"/>
      <c r="L544" s="68"/>
      <c r="M544" s="32" t="n">
        <f aca="false">M543+1</f>
        <v>84</v>
      </c>
      <c r="N544" s="268"/>
      <c r="O544" s="67" t="str">
        <f aca="false">IF(OR(T$601&lt;1,Spells!AP86=""),"",Spells!AP86&amp;" ("&amp;Spells!AQ86&amp;")")</f>
        <v/>
      </c>
      <c r="P544" s="67"/>
      <c r="Q544" s="67"/>
      <c r="R544" s="68"/>
      <c r="S544" s="32" t="n">
        <f aca="false">S543+1</f>
        <v>114</v>
      </c>
      <c r="T544" s="268"/>
      <c r="U544" s="67" t="str">
        <f aca="false">IF(OR(T$601&lt;1,Spells!AP116=""),"",Spells!AP116&amp;" ("&amp;Spells!AQ116&amp;")")</f>
        <v/>
      </c>
      <c r="V544" s="67"/>
      <c r="W544" s="67"/>
      <c r="X544" s="68"/>
      <c r="CN544" s="32"/>
      <c r="CO544" s="32"/>
    </row>
    <row r="545" customFormat="false" ht="12.75" hidden="false" customHeight="false" outlineLevel="0" collapsed="false">
      <c r="A545" s="32" t="n">
        <f aca="false">A544+1</f>
        <v>25</v>
      </c>
      <c r="B545" s="268"/>
      <c r="C545" s="67" t="str">
        <f aca="false">IF(OR(T$601&lt;1,Spells!AP27=""),"",Spells!AP27&amp;" ("&amp;Spells!AQ27&amp;")")</f>
        <v/>
      </c>
      <c r="D545" s="67"/>
      <c r="E545" s="67"/>
      <c r="F545" s="68"/>
      <c r="G545" s="32" t="n">
        <f aca="false">G544+1</f>
        <v>55</v>
      </c>
      <c r="H545" s="268"/>
      <c r="I545" s="67" t="str">
        <f aca="false">IF(OR(T$601&lt;1,Spells!AP57=""),"",Spells!AP57&amp;" ("&amp;Spells!AQ57&amp;")")</f>
        <v/>
      </c>
      <c r="J545" s="67"/>
      <c r="K545" s="67"/>
      <c r="L545" s="68"/>
      <c r="M545" s="32" t="n">
        <f aca="false">M544+1</f>
        <v>85</v>
      </c>
      <c r="N545" s="268"/>
      <c r="O545" s="67" t="str">
        <f aca="false">IF(OR(T$601&lt;1,Spells!AP87=""),"",Spells!AP87&amp;" ("&amp;Spells!AQ87&amp;")")</f>
        <v/>
      </c>
      <c r="P545" s="67"/>
      <c r="Q545" s="67"/>
      <c r="R545" s="68"/>
      <c r="S545" s="32" t="n">
        <f aca="false">S544+1</f>
        <v>115</v>
      </c>
      <c r="T545" s="268"/>
      <c r="U545" s="67" t="str">
        <f aca="false">IF(OR(T$601&lt;1,Spells!AP117=""),"",Spells!AP117&amp;" ("&amp;Spells!AQ117&amp;")")</f>
        <v/>
      </c>
      <c r="V545" s="67"/>
      <c r="W545" s="67"/>
      <c r="X545" s="68"/>
      <c r="CN545" s="32"/>
      <c r="CO545" s="32"/>
    </row>
    <row r="546" customFormat="false" ht="12.75" hidden="false" customHeight="false" outlineLevel="0" collapsed="false">
      <c r="A546" s="32" t="n">
        <f aca="false">A545+1</f>
        <v>26</v>
      </c>
      <c r="B546" s="268"/>
      <c r="C546" s="67" t="str">
        <f aca="false">IF(OR(T$601&lt;1,Spells!AP28=""),"",Spells!AP28&amp;" ("&amp;Spells!AQ28&amp;")")</f>
        <v/>
      </c>
      <c r="D546" s="67"/>
      <c r="E546" s="67"/>
      <c r="F546" s="68"/>
      <c r="G546" s="32" t="n">
        <f aca="false">G545+1</f>
        <v>56</v>
      </c>
      <c r="H546" s="268"/>
      <c r="I546" s="67" t="str">
        <f aca="false">IF(OR(T$601&lt;1,Spells!AP58=""),"",Spells!AP58&amp;" ("&amp;Spells!AQ58&amp;")")</f>
        <v/>
      </c>
      <c r="J546" s="67"/>
      <c r="K546" s="67"/>
      <c r="L546" s="68"/>
      <c r="M546" s="32" t="n">
        <f aca="false">M545+1</f>
        <v>86</v>
      </c>
      <c r="N546" s="268"/>
      <c r="O546" s="67" t="str">
        <f aca="false">IF(OR(T$601&lt;1,Spells!AP88=""),"",Spells!AP88&amp;" ("&amp;Spells!AQ88&amp;")")</f>
        <v/>
      </c>
      <c r="P546" s="67"/>
      <c r="Q546" s="67"/>
      <c r="R546" s="68"/>
      <c r="S546" s="32" t="n">
        <f aca="false">S545+1</f>
        <v>116</v>
      </c>
      <c r="T546" s="268"/>
      <c r="U546" s="67" t="str">
        <f aca="false">IF(OR(T$601&lt;1,Spells!AP118=""),"",Spells!AP118&amp;" ("&amp;Spells!AQ118&amp;")")</f>
        <v/>
      </c>
      <c r="V546" s="67"/>
      <c r="W546" s="67"/>
      <c r="X546" s="68"/>
      <c r="CN546" s="32"/>
      <c r="CO546" s="32"/>
    </row>
    <row r="547" customFormat="false" ht="12.75" hidden="false" customHeight="false" outlineLevel="0" collapsed="false">
      <c r="A547" s="32" t="n">
        <f aca="false">A546+1</f>
        <v>27</v>
      </c>
      <c r="B547" s="268"/>
      <c r="C547" s="67" t="str">
        <f aca="false">IF(OR(T$601&lt;1,Spells!AP29=""),"",Spells!AP29&amp;" ("&amp;Spells!AQ29&amp;")")</f>
        <v/>
      </c>
      <c r="D547" s="67"/>
      <c r="E547" s="67"/>
      <c r="F547" s="68"/>
      <c r="G547" s="32" t="n">
        <f aca="false">G546+1</f>
        <v>57</v>
      </c>
      <c r="H547" s="268"/>
      <c r="I547" s="67" t="str">
        <f aca="false">IF(OR(T$601&lt;1,Spells!AP59=""),"",Spells!AP59&amp;" ("&amp;Spells!AQ59&amp;")")</f>
        <v/>
      </c>
      <c r="J547" s="67"/>
      <c r="K547" s="67"/>
      <c r="L547" s="68"/>
      <c r="M547" s="32" t="n">
        <f aca="false">M546+1</f>
        <v>87</v>
      </c>
      <c r="N547" s="268"/>
      <c r="O547" s="67" t="str">
        <f aca="false">IF(OR(T$601&lt;1,Spells!AP89=""),"",Spells!AP89&amp;" ("&amp;Spells!AQ89&amp;")")</f>
        <v/>
      </c>
      <c r="P547" s="67"/>
      <c r="Q547" s="67"/>
      <c r="R547" s="68"/>
      <c r="S547" s="32" t="n">
        <f aca="false">S546+1</f>
        <v>117</v>
      </c>
      <c r="T547" s="268"/>
      <c r="U547" s="67" t="str">
        <f aca="false">IF(OR(T$601&lt;1,Spells!AP119=""),"",Spells!AP119&amp;" ("&amp;Spells!AQ119&amp;")")</f>
        <v/>
      </c>
      <c r="V547" s="67"/>
      <c r="W547" s="67"/>
      <c r="X547" s="68"/>
      <c r="CN547" s="32"/>
      <c r="CO547" s="32"/>
    </row>
    <row r="548" customFormat="false" ht="12.75" hidden="false" customHeight="false" outlineLevel="0" collapsed="false">
      <c r="A548" s="32" t="n">
        <f aca="false">A547+1</f>
        <v>28</v>
      </c>
      <c r="B548" s="268"/>
      <c r="C548" s="67" t="str">
        <f aca="false">IF(OR(T$601&lt;1,Spells!AP30=""),"",Spells!AP30&amp;" ("&amp;Spells!AQ30&amp;")")</f>
        <v/>
      </c>
      <c r="D548" s="67"/>
      <c r="E548" s="67"/>
      <c r="F548" s="68"/>
      <c r="G548" s="32" t="n">
        <f aca="false">G547+1</f>
        <v>58</v>
      </c>
      <c r="H548" s="268"/>
      <c r="I548" s="67" t="str">
        <f aca="false">IF(OR(T$601&lt;1,Spells!AP60=""),"",Spells!AP60&amp;" ("&amp;Spells!AQ60&amp;")")</f>
        <v/>
      </c>
      <c r="J548" s="67"/>
      <c r="K548" s="67"/>
      <c r="L548" s="68"/>
      <c r="M548" s="32" t="n">
        <f aca="false">M547+1</f>
        <v>88</v>
      </c>
      <c r="N548" s="268"/>
      <c r="O548" s="67" t="str">
        <f aca="false">IF(OR(T$601&lt;1,Spells!AP90=""),"",Spells!AP90&amp;" ("&amp;Spells!AQ90&amp;")")</f>
        <v/>
      </c>
      <c r="P548" s="67"/>
      <c r="Q548" s="67"/>
      <c r="R548" s="68"/>
      <c r="S548" s="32" t="n">
        <f aca="false">S547+1</f>
        <v>118</v>
      </c>
      <c r="T548" s="268"/>
      <c r="U548" s="67" t="str">
        <f aca="false">IF(OR(T$601&lt;1,Spells!AP120=""),"",Spells!AP120&amp;" ("&amp;Spells!AQ120&amp;")")</f>
        <v/>
      </c>
      <c r="V548" s="67"/>
      <c r="W548" s="67"/>
      <c r="X548" s="68"/>
      <c r="CN548" s="32"/>
      <c r="CO548" s="32"/>
    </row>
    <row r="549" customFormat="false" ht="12.75" hidden="false" customHeight="false" outlineLevel="0" collapsed="false">
      <c r="A549" s="32" t="n">
        <f aca="false">A548+1</f>
        <v>29</v>
      </c>
      <c r="B549" s="268"/>
      <c r="C549" s="67" t="str">
        <f aca="false">IF(OR(T$601&lt;1,Spells!AP31=""),"",Spells!AP31&amp;" ("&amp;Spells!AQ31&amp;")")</f>
        <v/>
      </c>
      <c r="D549" s="67"/>
      <c r="E549" s="67"/>
      <c r="F549" s="68"/>
      <c r="G549" s="32" t="n">
        <f aca="false">G548+1</f>
        <v>59</v>
      </c>
      <c r="H549" s="268"/>
      <c r="I549" s="67" t="str">
        <f aca="false">IF(OR(T$601&lt;1,Spells!AP61=""),"",Spells!AP61&amp;" ("&amp;Spells!AQ61&amp;")")</f>
        <v/>
      </c>
      <c r="J549" s="67"/>
      <c r="K549" s="67"/>
      <c r="L549" s="68"/>
      <c r="M549" s="32" t="n">
        <f aca="false">M548+1</f>
        <v>89</v>
      </c>
      <c r="N549" s="268"/>
      <c r="O549" s="67" t="str">
        <f aca="false">IF(OR(T$601&lt;1,Spells!AP91=""),"",Spells!AP91&amp;" ("&amp;Spells!AQ91&amp;")")</f>
        <v/>
      </c>
      <c r="P549" s="67"/>
      <c r="Q549" s="67"/>
      <c r="R549" s="68"/>
      <c r="S549" s="32" t="n">
        <f aca="false">S548+1</f>
        <v>119</v>
      </c>
      <c r="T549" s="268"/>
      <c r="U549" s="67" t="str">
        <f aca="false">IF(OR(T$601&lt;1,Spells!AP121=""),"",Spells!AP121&amp;" ("&amp;Spells!AQ121&amp;")")</f>
        <v/>
      </c>
      <c r="V549" s="67"/>
      <c r="W549" s="67"/>
      <c r="X549" s="68"/>
      <c r="CN549" s="32"/>
      <c r="CO549" s="32"/>
    </row>
    <row r="550" customFormat="false" ht="12.75" hidden="false" customHeight="false" outlineLevel="0" collapsed="false">
      <c r="A550" s="32" t="n">
        <f aca="false">A549+1</f>
        <v>30</v>
      </c>
      <c r="B550" s="269"/>
      <c r="C550" s="94" t="str">
        <f aca="false">IF(OR(T$601&lt;1,Spells!AP32=""),"",Spells!AP32&amp;" ("&amp;Spells!AQ32&amp;")")</f>
        <v/>
      </c>
      <c r="D550" s="94"/>
      <c r="E550" s="94"/>
      <c r="F550" s="96"/>
      <c r="G550" s="32" t="n">
        <f aca="false">G549+1</f>
        <v>60</v>
      </c>
      <c r="H550" s="269"/>
      <c r="I550" s="94" t="str">
        <f aca="false">IF(OR(T$601&lt;1,Spells!AP62=""),"",Spells!AP62&amp;" ("&amp;Spells!AQ62&amp;")")</f>
        <v/>
      </c>
      <c r="J550" s="94"/>
      <c r="K550" s="94"/>
      <c r="L550" s="96"/>
      <c r="M550" s="32" t="n">
        <f aca="false">M549+1</f>
        <v>90</v>
      </c>
      <c r="N550" s="269"/>
      <c r="O550" s="94" t="str">
        <f aca="false">IF(OR(T$601&lt;1,Spells!AP92=""),"",Spells!AP92&amp;" ("&amp;Spells!AQ92&amp;")")</f>
        <v/>
      </c>
      <c r="P550" s="94"/>
      <c r="Q550" s="94"/>
      <c r="R550" s="96"/>
      <c r="S550" s="32" t="n">
        <f aca="false">S549+1</f>
        <v>120</v>
      </c>
      <c r="T550" s="269"/>
      <c r="U550" s="94" t="str">
        <f aca="false">IF(OR(T$601&lt;1,Spells!AP122=""),"",Spells!AP122&amp;" ("&amp;Spells!AQ122&amp;")")</f>
        <v/>
      </c>
      <c r="V550" s="94"/>
      <c r="W550" s="94"/>
      <c r="X550" s="96"/>
      <c r="CN550" s="32"/>
      <c r="CO550" s="32"/>
    </row>
    <row r="551" customFormat="false" ht="12.75" hidden="false" customHeight="false" outlineLevel="0" collapsed="false">
      <c r="CN551" s="32"/>
      <c r="CO551" s="32"/>
    </row>
    <row r="552" customFormat="false" ht="12.75" hidden="false" customHeight="false" outlineLevel="0" collapsed="false">
      <c r="B552" s="267" t="s">
        <v>942</v>
      </c>
      <c r="C552" s="51"/>
      <c r="D552" s="51"/>
      <c r="E552" s="51"/>
      <c r="F552" s="52"/>
      <c r="H552" s="267" t="s">
        <v>942</v>
      </c>
      <c r="I552" s="51"/>
      <c r="J552" s="51"/>
      <c r="K552" s="51"/>
      <c r="L552" s="52"/>
      <c r="N552" s="267" t="s">
        <v>942</v>
      </c>
      <c r="O552" s="51"/>
      <c r="P552" s="51"/>
      <c r="Q552" s="51"/>
      <c r="R552" s="52"/>
      <c r="T552" s="267" t="s">
        <v>942</v>
      </c>
      <c r="U552" s="51"/>
      <c r="V552" s="51"/>
      <c r="W552" s="51"/>
      <c r="X552" s="52"/>
      <c r="AA552" s="267" t="s">
        <v>942</v>
      </c>
      <c r="AB552" s="51"/>
      <c r="AC552" s="51"/>
      <c r="AD552" s="51"/>
      <c r="AE552" s="52"/>
      <c r="CN552" s="32"/>
      <c r="CO552" s="32"/>
    </row>
    <row r="553" customFormat="false" ht="12.75" hidden="false" customHeight="false" outlineLevel="0" collapsed="false">
      <c r="A553" s="32" t="n">
        <v>1</v>
      </c>
      <c r="B553" s="268"/>
      <c r="C553" s="67" t="str">
        <f aca="false">IF(OR($T$602&lt;1,Spells!B3=""),"",Spells!B3&amp;" ("&amp;Spells!C3&amp;")")</f>
        <v/>
      </c>
      <c r="D553" s="67"/>
      <c r="E553" s="67"/>
      <c r="F553" s="68"/>
      <c r="G553" s="32" t="n">
        <f aca="false">A582+1</f>
        <v>31</v>
      </c>
      <c r="H553" s="268"/>
      <c r="I553" s="67" t="str">
        <f aca="false">IF(OR($T$602&lt;1,Spells!$B33=""),"",Spells!$B33&amp;" ("&amp;Spells!$C33&amp;")")</f>
        <v/>
      </c>
      <c r="J553" s="67"/>
      <c r="K553" s="67"/>
      <c r="L553" s="68"/>
      <c r="M553" s="32" t="n">
        <f aca="false">G582+1</f>
        <v>61</v>
      </c>
      <c r="N553" s="268"/>
      <c r="O553" s="67" t="str">
        <f aca="false">IF(OR($T$602&lt;1,Spells!$B63=""),"",Spells!$B63&amp;" ("&amp;Spells!$C63&amp;")")</f>
        <v/>
      </c>
      <c r="P553" s="67"/>
      <c r="Q553" s="67"/>
      <c r="R553" s="68"/>
      <c r="S553" s="32" t="n">
        <v>91</v>
      </c>
      <c r="T553" s="268"/>
      <c r="U553" s="67" t="str">
        <f aca="false">IF(OR($T$602&lt;1,Spells!$B93=""),"",Spells!$B93&amp;" ("&amp;Spells!$C93&amp;")")</f>
        <v/>
      </c>
      <c r="V553" s="67"/>
      <c r="W553" s="67"/>
      <c r="X553" s="68"/>
      <c r="Y553" s="32" t="n">
        <v>121</v>
      </c>
      <c r="AA553" s="268"/>
      <c r="AB553" s="67" t="str">
        <f aca="false">IF(OR($T$602&lt;1,Spells!$B123=""),"",Spells!$B123&amp;" ("&amp;Spells!$C123&amp;")")</f>
        <v/>
      </c>
      <c r="AC553" s="67"/>
      <c r="AD553" s="67"/>
      <c r="AE553" s="68"/>
      <c r="CN553" s="32"/>
      <c r="CO553" s="32"/>
    </row>
    <row r="554" customFormat="false" ht="12.75" hidden="false" customHeight="false" outlineLevel="0" collapsed="false">
      <c r="A554" s="32" t="n">
        <v>2</v>
      </c>
      <c r="B554" s="268"/>
      <c r="C554" s="67" t="str">
        <f aca="false">IF(OR(T$602&lt;1,Spells!B4=""),"",Spells!B4&amp;" ("&amp;Spells!C4&amp;")")</f>
        <v/>
      </c>
      <c r="D554" s="67"/>
      <c r="E554" s="67"/>
      <c r="F554" s="68"/>
      <c r="G554" s="32" t="n">
        <f aca="false">G553+1</f>
        <v>32</v>
      </c>
      <c r="H554" s="268"/>
      <c r="I554" s="67" t="str">
        <f aca="false">IF(OR($T$602&lt;1,Spells!B34=""),"",Spells!B34&amp;" ("&amp;Spells!C34&amp;")")</f>
        <v/>
      </c>
      <c r="J554" s="67"/>
      <c r="K554" s="67"/>
      <c r="L554" s="68"/>
      <c r="M554" s="32" t="n">
        <f aca="false">M553+1</f>
        <v>62</v>
      </c>
      <c r="N554" s="268"/>
      <c r="O554" s="67" t="str">
        <f aca="false">IF(OR($T$602&lt;1,Spells!$B64=""),"",Spells!$B64&amp;" ("&amp;Spells!$C64&amp;")")</f>
        <v/>
      </c>
      <c r="P554" s="67"/>
      <c r="Q554" s="67"/>
      <c r="R554" s="68"/>
      <c r="S554" s="32" t="n">
        <f aca="false">S553+1</f>
        <v>92</v>
      </c>
      <c r="T554" s="268"/>
      <c r="U554" s="67" t="str">
        <f aca="false">IF(OR($T$602&lt;1,Spells!$B94=""),"",Spells!$B94&amp;" ("&amp;Spells!$C94&amp;")")</f>
        <v/>
      </c>
      <c r="V554" s="67"/>
      <c r="W554" s="67"/>
      <c r="X554" s="68"/>
      <c r="Y554" s="32" t="n">
        <v>122</v>
      </c>
      <c r="AA554" s="268"/>
      <c r="AB554" s="67" t="str">
        <f aca="false">IF(OR($T$602&lt;1,Spells!$B124=""),"",Spells!$B124&amp;" ("&amp;Spells!$C124&amp;")")</f>
        <v/>
      </c>
      <c r="AC554" s="67"/>
      <c r="AD554" s="67"/>
      <c r="AE554" s="68"/>
      <c r="CN554" s="32"/>
      <c r="CO554" s="32"/>
    </row>
    <row r="555" customFormat="false" ht="12.75" hidden="false" customHeight="false" outlineLevel="0" collapsed="false">
      <c r="A555" s="32" t="n">
        <f aca="false">A554+1</f>
        <v>3</v>
      </c>
      <c r="B555" s="268"/>
      <c r="C555" s="67" t="str">
        <f aca="false">IF(OR(T$602&lt;1,Spells!B5=""),"",Spells!B5&amp;" ("&amp;Spells!C5&amp;")")</f>
        <v/>
      </c>
      <c r="D555" s="67"/>
      <c r="E555" s="67"/>
      <c r="F555" s="68"/>
      <c r="G555" s="32" t="n">
        <f aca="false">G554+1</f>
        <v>33</v>
      </c>
      <c r="H555" s="268"/>
      <c r="I555" s="67" t="str">
        <f aca="false">IF(OR($T$602&lt;1,Spells!B35=""),"",Spells!B35&amp;" ("&amp;Spells!C35&amp;")")</f>
        <v/>
      </c>
      <c r="J555" s="67"/>
      <c r="K555" s="67"/>
      <c r="L555" s="68"/>
      <c r="M555" s="32" t="n">
        <f aca="false">M554+1</f>
        <v>63</v>
      </c>
      <c r="N555" s="268"/>
      <c r="O555" s="67" t="str">
        <f aca="false">IF(OR($T$602&lt;1,Spells!$B65=""),"",Spells!$B65&amp;" ("&amp;Spells!$C65&amp;")")</f>
        <v/>
      </c>
      <c r="P555" s="67"/>
      <c r="Q555" s="67"/>
      <c r="R555" s="68"/>
      <c r="S555" s="32" t="n">
        <f aca="false">S554+1</f>
        <v>93</v>
      </c>
      <c r="T555" s="268"/>
      <c r="U555" s="67" t="str">
        <f aca="false">IF(OR($T$602&lt;1,Spells!$B95=""),"",Spells!$B95&amp;" ("&amp;Spells!$C95&amp;")")</f>
        <v/>
      </c>
      <c r="V555" s="67"/>
      <c r="W555" s="67"/>
      <c r="X555" s="68"/>
      <c r="Y555" s="32" t="n">
        <v>123</v>
      </c>
      <c r="AA555" s="268"/>
      <c r="AB555" s="67" t="str">
        <f aca="false">IF(OR($T$602&lt;1,Spells!$B125=""),"",Spells!$B125&amp;" ("&amp;Spells!$C125&amp;")")</f>
        <v/>
      </c>
      <c r="AC555" s="67"/>
      <c r="AD555" s="67"/>
      <c r="AE555" s="68"/>
      <c r="CN555" s="32"/>
      <c r="CO555" s="32"/>
    </row>
    <row r="556" customFormat="false" ht="12.75" hidden="false" customHeight="false" outlineLevel="0" collapsed="false">
      <c r="A556" s="32" t="n">
        <f aca="false">A555+1</f>
        <v>4</v>
      </c>
      <c r="B556" s="268"/>
      <c r="C556" s="67" t="str">
        <f aca="false">IF(OR(T$602&lt;1,Spells!B6=""),"",Spells!B6&amp;" ("&amp;Spells!C6&amp;")")</f>
        <v/>
      </c>
      <c r="D556" s="67"/>
      <c r="E556" s="67"/>
      <c r="F556" s="68"/>
      <c r="G556" s="32" t="n">
        <f aca="false">G555+1</f>
        <v>34</v>
      </c>
      <c r="H556" s="268"/>
      <c r="I556" s="67" t="str">
        <f aca="false">IF(OR($T$602&lt;1,Spells!B36=""),"",Spells!B36&amp;" ("&amp;Spells!C36&amp;")")</f>
        <v/>
      </c>
      <c r="J556" s="67"/>
      <c r="K556" s="67"/>
      <c r="L556" s="68"/>
      <c r="M556" s="32" t="n">
        <f aca="false">M555+1</f>
        <v>64</v>
      </c>
      <c r="N556" s="268"/>
      <c r="O556" s="67" t="str">
        <f aca="false">IF(OR($T$602&lt;1,Spells!$B66=""),"",Spells!$B66&amp;" ("&amp;Spells!$C66&amp;")")</f>
        <v/>
      </c>
      <c r="P556" s="67"/>
      <c r="Q556" s="67"/>
      <c r="R556" s="68"/>
      <c r="S556" s="32" t="n">
        <f aca="false">S555+1</f>
        <v>94</v>
      </c>
      <c r="T556" s="268"/>
      <c r="U556" s="67" t="str">
        <f aca="false">IF(OR($T$602&lt;1,Spells!$B96=""),"",Spells!$B96&amp;" ("&amp;Spells!$C96&amp;")")</f>
        <v/>
      </c>
      <c r="V556" s="67"/>
      <c r="W556" s="67"/>
      <c r="X556" s="68"/>
      <c r="Y556" s="56" t="n">
        <v>124</v>
      </c>
      <c r="Z556" s="56"/>
      <c r="AA556" s="268"/>
      <c r="AB556" s="67" t="str">
        <f aca="false">IF(OR($T$602&lt;1,Spells!$B126=""),"",Spells!$B126&amp;" ("&amp;Spells!$C126&amp;")")</f>
        <v/>
      </c>
      <c r="AC556" s="67"/>
      <c r="AD556" s="67"/>
      <c r="AE556" s="68"/>
      <c r="CN556" s="32"/>
      <c r="CO556" s="32"/>
    </row>
    <row r="557" customFormat="false" ht="12.75" hidden="false" customHeight="false" outlineLevel="0" collapsed="false">
      <c r="A557" s="32" t="n">
        <f aca="false">A556+1</f>
        <v>5</v>
      </c>
      <c r="B557" s="268"/>
      <c r="C557" s="67" t="str">
        <f aca="false">IF(OR(T$602&lt;1,Spells!B7=""),"",Spells!B7&amp;" ("&amp;Spells!C7&amp;")")</f>
        <v/>
      </c>
      <c r="D557" s="67"/>
      <c r="E557" s="67"/>
      <c r="F557" s="68"/>
      <c r="G557" s="32" t="n">
        <f aca="false">G556+1</f>
        <v>35</v>
      </c>
      <c r="H557" s="268"/>
      <c r="I557" s="67" t="str">
        <f aca="false">IF(OR($T$602&lt;1,Spells!B37=""),"",Spells!B37&amp;" ("&amp;Spells!C37&amp;")")</f>
        <v/>
      </c>
      <c r="J557" s="67"/>
      <c r="K557" s="67"/>
      <c r="L557" s="68"/>
      <c r="M557" s="32" t="n">
        <f aca="false">M556+1</f>
        <v>65</v>
      </c>
      <c r="N557" s="268"/>
      <c r="O557" s="67" t="str">
        <f aca="false">IF(OR($T$602&lt;1,Spells!$B67=""),"",Spells!$B67&amp;" ("&amp;Spells!$C67&amp;")")</f>
        <v/>
      </c>
      <c r="P557" s="67"/>
      <c r="Q557" s="67"/>
      <c r="R557" s="68"/>
      <c r="S557" s="32" t="n">
        <f aca="false">S556+1</f>
        <v>95</v>
      </c>
      <c r="T557" s="268"/>
      <c r="U557" s="67" t="str">
        <f aca="false">IF(OR($T$602&lt;1,Spells!$B97=""),"",Spells!$B97&amp;" ("&amp;Spells!$C97&amp;")")</f>
        <v/>
      </c>
      <c r="V557" s="67"/>
      <c r="W557" s="67"/>
      <c r="X557" s="68"/>
      <c r="Y557" s="56" t="n">
        <v>125</v>
      </c>
      <c r="Z557" s="56"/>
      <c r="AA557" s="268"/>
      <c r="AB557" s="67" t="str">
        <f aca="false">IF(OR($T$602&lt;1,Spells!$B127=""),"",Spells!$B127&amp;" ("&amp;Spells!$C127&amp;")")</f>
        <v/>
      </c>
      <c r="AC557" s="67"/>
      <c r="AD557" s="67"/>
      <c r="AE557" s="68"/>
      <c r="CN557" s="32"/>
      <c r="CO557" s="32"/>
    </row>
    <row r="558" customFormat="false" ht="12.75" hidden="false" customHeight="false" outlineLevel="0" collapsed="false">
      <c r="A558" s="32" t="n">
        <f aca="false">A557+1</f>
        <v>6</v>
      </c>
      <c r="B558" s="268"/>
      <c r="C558" s="67" t="str">
        <f aca="false">IF(OR(T$602&lt;1,Spells!B8=""),"",Spells!B8&amp;" ("&amp;Spells!C8&amp;")")</f>
        <v/>
      </c>
      <c r="D558" s="67"/>
      <c r="E558" s="67"/>
      <c r="F558" s="68"/>
      <c r="G558" s="32" t="n">
        <f aca="false">G557+1</f>
        <v>36</v>
      </c>
      <c r="H558" s="268"/>
      <c r="I558" s="67" t="str">
        <f aca="false">IF(OR($T$602&lt;1,Spells!B38=""),"",Spells!B38&amp;" ("&amp;Spells!C38&amp;")")</f>
        <v/>
      </c>
      <c r="J558" s="67"/>
      <c r="K558" s="67"/>
      <c r="L558" s="68"/>
      <c r="M558" s="32" t="n">
        <f aca="false">M557+1</f>
        <v>66</v>
      </c>
      <c r="N558" s="268"/>
      <c r="O558" s="67" t="str">
        <f aca="false">IF(OR($T$602&lt;1,Spells!$B68=""),"",Spells!$B68&amp;" ("&amp;Spells!$C68&amp;")")</f>
        <v/>
      </c>
      <c r="P558" s="67"/>
      <c r="Q558" s="67"/>
      <c r="R558" s="68"/>
      <c r="S558" s="32" t="n">
        <f aca="false">S557+1</f>
        <v>96</v>
      </c>
      <c r="T558" s="268"/>
      <c r="U558" s="67" t="str">
        <f aca="false">IF(OR($T$602&lt;1,Spells!$B98=""),"",Spells!$B98&amp;" ("&amp;Spells!$C98&amp;")")</f>
        <v/>
      </c>
      <c r="V558" s="67"/>
      <c r="W558" s="67"/>
      <c r="X558" s="68"/>
      <c r="Y558" s="56" t="n">
        <v>126</v>
      </c>
      <c r="Z558" s="56"/>
      <c r="AA558" s="268"/>
      <c r="AB558" s="67" t="str">
        <f aca="false">IF(OR($T$602&lt;1,Spells!$B128=""),"",Spells!$B128&amp;" ("&amp;Spells!$C128&amp;")")</f>
        <v/>
      </c>
      <c r="AC558" s="67"/>
      <c r="AD558" s="67"/>
      <c r="AE558" s="68"/>
      <c r="CN558" s="32"/>
      <c r="CO558" s="32"/>
    </row>
    <row r="559" customFormat="false" ht="12.75" hidden="false" customHeight="false" outlineLevel="0" collapsed="false">
      <c r="A559" s="32" t="n">
        <f aca="false">A558+1</f>
        <v>7</v>
      </c>
      <c r="B559" s="268"/>
      <c r="C559" s="67" t="str">
        <f aca="false">IF(OR(T$602&lt;1,Spells!B9=""),"",Spells!B9&amp;" ("&amp;Spells!C9&amp;")")</f>
        <v/>
      </c>
      <c r="D559" s="67"/>
      <c r="E559" s="67"/>
      <c r="F559" s="68"/>
      <c r="G559" s="32" t="n">
        <f aca="false">G558+1</f>
        <v>37</v>
      </c>
      <c r="H559" s="268"/>
      <c r="I559" s="67" t="str">
        <f aca="false">IF(OR($T$602&lt;1,Spells!B39=""),"",Spells!B39&amp;" ("&amp;Spells!C39&amp;")")</f>
        <v/>
      </c>
      <c r="J559" s="67"/>
      <c r="K559" s="67"/>
      <c r="L559" s="68"/>
      <c r="M559" s="32" t="n">
        <f aca="false">M558+1</f>
        <v>67</v>
      </c>
      <c r="N559" s="268"/>
      <c r="O559" s="67" t="str">
        <f aca="false">IF(OR($T$602&lt;1,Spells!$B69=""),"",Spells!$B69&amp;" ("&amp;Spells!$C69&amp;")")</f>
        <v/>
      </c>
      <c r="P559" s="67"/>
      <c r="Q559" s="67"/>
      <c r="R559" s="68"/>
      <c r="S559" s="32" t="n">
        <f aca="false">S558+1</f>
        <v>97</v>
      </c>
      <c r="T559" s="268"/>
      <c r="U559" s="67" t="str">
        <f aca="false">IF(OR($T$602&lt;1,Spells!$B99=""),"",Spells!$B99&amp;" ("&amp;Spells!$C99&amp;")")</f>
        <v/>
      </c>
      <c r="V559" s="67"/>
      <c r="W559" s="67"/>
      <c r="X559" s="68"/>
      <c r="Y559" s="56" t="n">
        <v>127</v>
      </c>
      <c r="Z559" s="56"/>
      <c r="AA559" s="268"/>
      <c r="AB559" s="67" t="str">
        <f aca="false">IF(OR($T$602&lt;1,Spells!$B129=""),"",Spells!$B129&amp;" ("&amp;Spells!$C129&amp;")")</f>
        <v/>
      </c>
      <c r="AC559" s="67"/>
      <c r="AD559" s="67"/>
      <c r="AE559" s="68"/>
      <c r="CN559" s="32"/>
      <c r="CO559" s="32"/>
    </row>
    <row r="560" customFormat="false" ht="12.75" hidden="false" customHeight="false" outlineLevel="0" collapsed="false">
      <c r="A560" s="32" t="n">
        <f aca="false">A559+1</f>
        <v>8</v>
      </c>
      <c r="B560" s="268"/>
      <c r="C560" s="67" t="str">
        <f aca="false">IF(OR(T$602&lt;1,Spells!B10=""),"",Spells!B10&amp;" ("&amp;Spells!C10&amp;")")</f>
        <v/>
      </c>
      <c r="D560" s="67"/>
      <c r="E560" s="67"/>
      <c r="F560" s="68"/>
      <c r="G560" s="32" t="n">
        <f aca="false">G559+1</f>
        <v>38</v>
      </c>
      <c r="H560" s="268"/>
      <c r="I560" s="67" t="str">
        <f aca="false">IF(OR($T$602&lt;1,Spells!B40=""),"",Spells!B40&amp;" ("&amp;Spells!C40&amp;")")</f>
        <v/>
      </c>
      <c r="J560" s="67"/>
      <c r="K560" s="67"/>
      <c r="L560" s="68"/>
      <c r="M560" s="32" t="n">
        <f aca="false">M559+1</f>
        <v>68</v>
      </c>
      <c r="N560" s="268"/>
      <c r="O560" s="67" t="str">
        <f aca="false">IF(OR($T$602&lt;1,Spells!$B70=""),"",Spells!$B70&amp;" ("&amp;Spells!$C70&amp;")")</f>
        <v/>
      </c>
      <c r="P560" s="67"/>
      <c r="Q560" s="67"/>
      <c r="R560" s="68"/>
      <c r="S560" s="32" t="n">
        <f aca="false">S559+1</f>
        <v>98</v>
      </c>
      <c r="T560" s="268"/>
      <c r="U560" s="67" t="str">
        <f aca="false">IF(OR($T$602&lt;1,Spells!$B100=""),"",Spells!$B100&amp;" ("&amp;Spells!$C100&amp;")")</f>
        <v/>
      </c>
      <c r="V560" s="67"/>
      <c r="W560" s="67"/>
      <c r="X560" s="68"/>
      <c r="Y560" s="56" t="n">
        <v>128</v>
      </c>
      <c r="Z560" s="56"/>
      <c r="AA560" s="269"/>
      <c r="AB560" s="94" t="str">
        <f aca="false">IF(OR($T$602&lt;1,Spells!$B130=""),"",Spells!$B130&amp;" ("&amp;Spells!$C130&amp;")")</f>
        <v/>
      </c>
      <c r="AC560" s="94"/>
      <c r="AD560" s="94"/>
      <c r="AE560" s="96"/>
      <c r="CN560" s="32"/>
      <c r="CO560" s="32"/>
    </row>
    <row r="561" customFormat="false" ht="12.75" hidden="false" customHeight="false" outlineLevel="0" collapsed="false">
      <c r="A561" s="32" t="n">
        <f aca="false">A560+1</f>
        <v>9</v>
      </c>
      <c r="B561" s="268"/>
      <c r="C561" s="67" t="str">
        <f aca="false">IF(OR(T$602&lt;1,Spells!B11=""),"",Spells!B11&amp;" ("&amp;Spells!C11&amp;")")</f>
        <v/>
      </c>
      <c r="D561" s="67"/>
      <c r="E561" s="67"/>
      <c r="F561" s="68"/>
      <c r="G561" s="32" t="n">
        <f aca="false">G560+1</f>
        <v>39</v>
      </c>
      <c r="H561" s="268"/>
      <c r="I561" s="67" t="str">
        <f aca="false">IF(OR($T$602&lt;1,Spells!B41=""),"",Spells!B41&amp;" ("&amp;Spells!C41&amp;")")</f>
        <v/>
      </c>
      <c r="J561" s="67"/>
      <c r="K561" s="67"/>
      <c r="L561" s="68"/>
      <c r="M561" s="32" t="n">
        <f aca="false">M560+1</f>
        <v>69</v>
      </c>
      <c r="N561" s="268"/>
      <c r="O561" s="67" t="str">
        <f aca="false">IF(OR($T$602&lt;1,Spells!$B71=""),"",Spells!$B71&amp;" ("&amp;Spells!$C71&amp;")")</f>
        <v/>
      </c>
      <c r="P561" s="67"/>
      <c r="Q561" s="67"/>
      <c r="R561" s="68"/>
      <c r="S561" s="32" t="n">
        <f aca="false">S560+1</f>
        <v>99</v>
      </c>
      <c r="T561" s="268"/>
      <c r="U561" s="67" t="str">
        <f aca="false">IF(OR($T$602&lt;1,Spells!$B101=""),"",Spells!$B101&amp;" ("&amp;Spells!$C101&amp;")")</f>
        <v/>
      </c>
      <c r="V561" s="67"/>
      <c r="W561" s="67"/>
      <c r="X561" s="68"/>
      <c r="CN561" s="32"/>
      <c r="CO561" s="32"/>
    </row>
    <row r="562" customFormat="false" ht="12.75" hidden="false" customHeight="false" outlineLevel="0" collapsed="false">
      <c r="A562" s="32" t="n">
        <f aca="false">A561+1</f>
        <v>10</v>
      </c>
      <c r="B562" s="268"/>
      <c r="C562" s="67" t="str">
        <f aca="false">IF(OR(T$602&lt;1,Spells!B12=""),"",Spells!B12&amp;" ("&amp;Spells!C12&amp;")")</f>
        <v/>
      </c>
      <c r="D562" s="67"/>
      <c r="E562" s="67"/>
      <c r="F562" s="68"/>
      <c r="G562" s="32" t="n">
        <f aca="false">G561+1</f>
        <v>40</v>
      </c>
      <c r="H562" s="268"/>
      <c r="I562" s="67" t="str">
        <f aca="false">IF(OR($T$602&lt;1,Spells!B42=""),"",Spells!B42&amp;" ("&amp;Spells!C42&amp;")")</f>
        <v/>
      </c>
      <c r="J562" s="67"/>
      <c r="K562" s="67"/>
      <c r="L562" s="68"/>
      <c r="M562" s="32" t="n">
        <f aca="false">M561+1</f>
        <v>70</v>
      </c>
      <c r="N562" s="268"/>
      <c r="O562" s="67" t="str">
        <f aca="false">IF(OR($T$602&lt;1,Spells!$B72=""),"",Spells!$B72&amp;" ("&amp;Spells!$C72&amp;")")</f>
        <v/>
      </c>
      <c r="P562" s="67"/>
      <c r="Q562" s="67"/>
      <c r="R562" s="68"/>
      <c r="S562" s="32" t="n">
        <f aca="false">S561+1</f>
        <v>100</v>
      </c>
      <c r="T562" s="268"/>
      <c r="U562" s="67" t="str">
        <f aca="false">IF(OR($T$602&lt;1,Spells!$B102=""),"",Spells!$B102&amp;" ("&amp;Spells!$C102&amp;")")</f>
        <v/>
      </c>
      <c r="V562" s="67"/>
      <c r="W562" s="67"/>
      <c r="X562" s="68"/>
      <c r="CN562" s="32"/>
      <c r="CO562" s="32"/>
    </row>
    <row r="563" customFormat="false" ht="12.75" hidden="false" customHeight="false" outlineLevel="0" collapsed="false">
      <c r="A563" s="32" t="n">
        <f aca="false">A562+1</f>
        <v>11</v>
      </c>
      <c r="B563" s="268"/>
      <c r="C563" s="67" t="str">
        <f aca="false">IF(OR(T$602&lt;1,Spells!B13=""),"",Spells!B13&amp;" ("&amp;Spells!C13&amp;")")</f>
        <v/>
      </c>
      <c r="D563" s="67"/>
      <c r="E563" s="67"/>
      <c r="F563" s="68"/>
      <c r="G563" s="32" t="n">
        <f aca="false">G562+1</f>
        <v>41</v>
      </c>
      <c r="H563" s="268"/>
      <c r="I563" s="67" t="str">
        <f aca="false">IF(OR($T$602&lt;1,Spells!B43=""),"",Spells!B43&amp;" ("&amp;Spells!C43&amp;")")</f>
        <v/>
      </c>
      <c r="J563" s="67"/>
      <c r="K563" s="67"/>
      <c r="L563" s="68"/>
      <c r="M563" s="32" t="n">
        <f aca="false">M562+1</f>
        <v>71</v>
      </c>
      <c r="N563" s="268"/>
      <c r="O563" s="67" t="str">
        <f aca="false">IF(OR($T$602&lt;1,Spells!$B73=""),"",Spells!$B73&amp;" ("&amp;Spells!$C73&amp;")")</f>
        <v/>
      </c>
      <c r="P563" s="67"/>
      <c r="Q563" s="67"/>
      <c r="R563" s="68"/>
      <c r="S563" s="32" t="n">
        <f aca="false">S562+1</f>
        <v>101</v>
      </c>
      <c r="T563" s="268"/>
      <c r="U563" s="67" t="str">
        <f aca="false">IF(OR($T$602&lt;1,Spells!$B103=""),"",Spells!$B103&amp;" ("&amp;Spells!$C103&amp;")")</f>
        <v/>
      </c>
      <c r="V563" s="67"/>
      <c r="W563" s="67"/>
      <c r="X563" s="68"/>
      <c r="CN563" s="32"/>
      <c r="CO563" s="32"/>
    </row>
    <row r="564" customFormat="false" ht="12.75" hidden="false" customHeight="false" outlineLevel="0" collapsed="false">
      <c r="A564" s="32" t="n">
        <f aca="false">A563+1</f>
        <v>12</v>
      </c>
      <c r="B564" s="268"/>
      <c r="C564" s="67" t="str">
        <f aca="false">IF(OR(T$602&lt;1,Spells!B14=""),"",Spells!B14&amp;" ("&amp;Spells!C14&amp;")")</f>
        <v/>
      </c>
      <c r="D564" s="67"/>
      <c r="E564" s="67"/>
      <c r="F564" s="68"/>
      <c r="G564" s="32" t="n">
        <f aca="false">G563+1</f>
        <v>42</v>
      </c>
      <c r="H564" s="268"/>
      <c r="I564" s="67" t="str">
        <f aca="false">IF(OR($T$602&lt;1,Spells!B44=""),"",Spells!B44&amp;" ("&amp;Spells!C44&amp;")")</f>
        <v/>
      </c>
      <c r="J564" s="67"/>
      <c r="K564" s="67"/>
      <c r="L564" s="68"/>
      <c r="M564" s="32" t="n">
        <f aca="false">M563+1</f>
        <v>72</v>
      </c>
      <c r="N564" s="268"/>
      <c r="O564" s="67" t="str">
        <f aca="false">IF(OR($T$602&lt;1,Spells!$B74=""),"",Spells!$B74&amp;" ("&amp;Spells!$C74&amp;")")</f>
        <v/>
      </c>
      <c r="P564" s="67"/>
      <c r="Q564" s="67"/>
      <c r="R564" s="68"/>
      <c r="S564" s="32" t="n">
        <f aca="false">S563+1</f>
        <v>102</v>
      </c>
      <c r="T564" s="268"/>
      <c r="U564" s="67" t="str">
        <f aca="false">IF(OR($T$602&lt;1,Spells!$B104=""),"",Spells!$B104&amp;" ("&amp;Spells!$C104&amp;")")</f>
        <v/>
      </c>
      <c r="V564" s="67"/>
      <c r="W564" s="67"/>
      <c r="X564" s="68"/>
      <c r="CN564" s="32"/>
      <c r="CO564" s="32"/>
    </row>
    <row r="565" customFormat="false" ht="12.75" hidden="false" customHeight="false" outlineLevel="0" collapsed="false">
      <c r="A565" s="32" t="n">
        <f aca="false">A564+1</f>
        <v>13</v>
      </c>
      <c r="B565" s="268"/>
      <c r="C565" s="67" t="str">
        <f aca="false">IF(OR(T$602&lt;1,Spells!B15=""),"",Spells!B15&amp;" ("&amp;Spells!C15&amp;")")</f>
        <v/>
      </c>
      <c r="D565" s="67"/>
      <c r="E565" s="67"/>
      <c r="F565" s="68"/>
      <c r="G565" s="32" t="n">
        <f aca="false">G564+1</f>
        <v>43</v>
      </c>
      <c r="H565" s="268"/>
      <c r="I565" s="67" t="str">
        <f aca="false">IF(OR($T$602&lt;1,Spells!B45=""),"",Spells!B45&amp;" ("&amp;Spells!C45&amp;")")</f>
        <v/>
      </c>
      <c r="J565" s="67"/>
      <c r="K565" s="67"/>
      <c r="L565" s="68"/>
      <c r="M565" s="32" t="n">
        <f aca="false">M564+1</f>
        <v>73</v>
      </c>
      <c r="N565" s="268"/>
      <c r="O565" s="67" t="str">
        <f aca="false">IF(OR($T$602&lt;1,Spells!$B75=""),"",Spells!$B75&amp;" ("&amp;Spells!$C75&amp;")")</f>
        <v/>
      </c>
      <c r="P565" s="67"/>
      <c r="Q565" s="67"/>
      <c r="R565" s="68"/>
      <c r="S565" s="32" t="n">
        <f aca="false">S564+1</f>
        <v>103</v>
      </c>
      <c r="T565" s="268"/>
      <c r="U565" s="67" t="str">
        <f aca="false">IF(OR($T$602&lt;1,Spells!$B105=""),"",Spells!$B105&amp;" ("&amp;Spells!$C105&amp;")")</f>
        <v/>
      </c>
      <c r="V565" s="67"/>
      <c r="W565" s="67"/>
      <c r="X565" s="68"/>
      <c r="CN565" s="32"/>
      <c r="CO565" s="32"/>
    </row>
    <row r="566" customFormat="false" ht="12.75" hidden="false" customHeight="false" outlineLevel="0" collapsed="false">
      <c r="A566" s="32" t="n">
        <f aca="false">A565+1</f>
        <v>14</v>
      </c>
      <c r="B566" s="268"/>
      <c r="C566" s="67" t="str">
        <f aca="false">IF(OR(T$602&lt;1,Spells!B16=""),"",Spells!B16&amp;" ("&amp;Spells!C16&amp;")")</f>
        <v/>
      </c>
      <c r="D566" s="67"/>
      <c r="E566" s="67"/>
      <c r="F566" s="68"/>
      <c r="G566" s="32" t="n">
        <f aca="false">G565+1</f>
        <v>44</v>
      </c>
      <c r="H566" s="268"/>
      <c r="I566" s="67" t="str">
        <f aca="false">IF(OR($T$602&lt;1,Spells!B46=""),"",Spells!B46&amp;" ("&amp;Spells!C46&amp;")")</f>
        <v/>
      </c>
      <c r="J566" s="67"/>
      <c r="K566" s="67"/>
      <c r="L566" s="68"/>
      <c r="M566" s="32" t="n">
        <f aca="false">M565+1</f>
        <v>74</v>
      </c>
      <c r="N566" s="268"/>
      <c r="O566" s="67" t="str">
        <f aca="false">IF(OR($T$602&lt;1,Spells!$B76=""),"",Spells!$B76&amp;" ("&amp;Spells!$C76&amp;")")</f>
        <v/>
      </c>
      <c r="P566" s="67"/>
      <c r="Q566" s="67"/>
      <c r="R566" s="68"/>
      <c r="S566" s="32" t="n">
        <f aca="false">S565+1</f>
        <v>104</v>
      </c>
      <c r="T566" s="268"/>
      <c r="U566" s="67" t="str">
        <f aca="false">IF(OR($T$602&lt;1,Spells!$B106=""),"",Spells!$B106&amp;" ("&amp;Spells!$C106&amp;")")</f>
        <v/>
      </c>
      <c r="V566" s="67"/>
      <c r="W566" s="67"/>
      <c r="X566" s="68"/>
      <c r="CN566" s="32"/>
      <c r="CO566" s="32"/>
    </row>
    <row r="567" customFormat="false" ht="12.75" hidden="false" customHeight="false" outlineLevel="0" collapsed="false">
      <c r="A567" s="32" t="n">
        <f aca="false">A566+1</f>
        <v>15</v>
      </c>
      <c r="B567" s="268"/>
      <c r="C567" s="67" t="str">
        <f aca="false">IF(OR(T$602&lt;1,Spells!B17=""),"",Spells!B17&amp;" ("&amp;Spells!C17&amp;")")</f>
        <v/>
      </c>
      <c r="D567" s="67"/>
      <c r="E567" s="67"/>
      <c r="F567" s="68"/>
      <c r="G567" s="32" t="n">
        <f aca="false">G566+1</f>
        <v>45</v>
      </c>
      <c r="H567" s="268"/>
      <c r="I567" s="67" t="str">
        <f aca="false">IF(OR($T$602&lt;1,Spells!B47=""),"",Spells!B47&amp;" ("&amp;Spells!C47&amp;")")</f>
        <v/>
      </c>
      <c r="J567" s="67"/>
      <c r="K567" s="67"/>
      <c r="L567" s="68"/>
      <c r="M567" s="32" t="n">
        <f aca="false">M566+1</f>
        <v>75</v>
      </c>
      <c r="N567" s="268"/>
      <c r="O567" s="67" t="str">
        <f aca="false">IF(OR($T$602&lt;1,Spells!$B77=""),"",Spells!$B77&amp;" ("&amp;Spells!$C77&amp;")")</f>
        <v/>
      </c>
      <c r="P567" s="67"/>
      <c r="Q567" s="67"/>
      <c r="R567" s="68"/>
      <c r="S567" s="32" t="n">
        <f aca="false">S566+1</f>
        <v>105</v>
      </c>
      <c r="T567" s="268"/>
      <c r="U567" s="67" t="str">
        <f aca="false">IF(OR($T$602&lt;1,Spells!$B107=""),"",Spells!$B107&amp;" ("&amp;Spells!$C107&amp;")")</f>
        <v/>
      </c>
      <c r="V567" s="67"/>
      <c r="W567" s="67"/>
      <c r="X567" s="68"/>
      <c r="CN567" s="32"/>
      <c r="CO567" s="32"/>
    </row>
    <row r="568" customFormat="false" ht="12.75" hidden="false" customHeight="false" outlineLevel="0" collapsed="false">
      <c r="A568" s="32" t="n">
        <f aca="false">A567+1</f>
        <v>16</v>
      </c>
      <c r="B568" s="268"/>
      <c r="C568" s="67" t="str">
        <f aca="false">IF(OR(T$602&lt;1,Spells!B18=""),"",Spells!B18&amp;" ("&amp;Spells!C18&amp;")")</f>
        <v/>
      </c>
      <c r="D568" s="67"/>
      <c r="E568" s="67"/>
      <c r="F568" s="68"/>
      <c r="G568" s="32" t="n">
        <f aca="false">G567+1</f>
        <v>46</v>
      </c>
      <c r="H568" s="268"/>
      <c r="I568" s="67" t="str">
        <f aca="false">IF(OR($T$602&lt;1,Spells!B48=""),"",Spells!B48&amp;" ("&amp;Spells!C48&amp;")")</f>
        <v/>
      </c>
      <c r="J568" s="67"/>
      <c r="K568" s="67"/>
      <c r="L568" s="68"/>
      <c r="M568" s="32" t="n">
        <f aca="false">M567+1</f>
        <v>76</v>
      </c>
      <c r="N568" s="268"/>
      <c r="O568" s="67" t="str">
        <f aca="false">IF(OR($T$602&lt;1,Spells!$B78=""),"",Spells!$B78&amp;" ("&amp;Spells!$C78&amp;")")</f>
        <v/>
      </c>
      <c r="P568" s="67"/>
      <c r="Q568" s="67"/>
      <c r="R568" s="68"/>
      <c r="S568" s="32" t="n">
        <f aca="false">S567+1</f>
        <v>106</v>
      </c>
      <c r="T568" s="268"/>
      <c r="U568" s="67" t="str">
        <f aca="false">IF(OR($T$602&lt;1,Spells!$B108=""),"",Spells!$B108&amp;" ("&amp;Spells!$C108&amp;")")</f>
        <v/>
      </c>
      <c r="V568" s="67"/>
      <c r="W568" s="67"/>
      <c r="X568" s="68"/>
      <c r="CN568" s="32"/>
      <c r="CO568" s="32"/>
    </row>
    <row r="569" customFormat="false" ht="12.75" hidden="false" customHeight="false" outlineLevel="0" collapsed="false">
      <c r="A569" s="32" t="n">
        <f aca="false">A568+1</f>
        <v>17</v>
      </c>
      <c r="B569" s="268"/>
      <c r="C569" s="67" t="str">
        <f aca="false">IF(OR(T$602&lt;1,Spells!B19=""),"",Spells!B19&amp;" ("&amp;Spells!C19&amp;")")</f>
        <v/>
      </c>
      <c r="D569" s="67"/>
      <c r="E569" s="67"/>
      <c r="F569" s="68"/>
      <c r="G569" s="32" t="n">
        <f aca="false">G568+1</f>
        <v>47</v>
      </c>
      <c r="H569" s="268"/>
      <c r="I569" s="67" t="str">
        <f aca="false">IF(OR($T$602&lt;1,Spells!B49=""),"",Spells!B49&amp;" ("&amp;Spells!C49&amp;")")</f>
        <v/>
      </c>
      <c r="J569" s="67"/>
      <c r="K569" s="67"/>
      <c r="L569" s="68"/>
      <c r="M569" s="32" t="n">
        <f aca="false">M568+1</f>
        <v>77</v>
      </c>
      <c r="N569" s="268"/>
      <c r="O569" s="67" t="str">
        <f aca="false">IF(OR($T$602&lt;1,Spells!$B79=""),"",Spells!$B79&amp;" ("&amp;Spells!$C79&amp;")")</f>
        <v/>
      </c>
      <c r="P569" s="67"/>
      <c r="Q569" s="67"/>
      <c r="R569" s="68"/>
      <c r="S569" s="32" t="n">
        <f aca="false">S568+1</f>
        <v>107</v>
      </c>
      <c r="T569" s="268"/>
      <c r="U569" s="67" t="str">
        <f aca="false">IF(OR($T$602&lt;1,Spells!$B109=""),"",Spells!$B109&amp;" ("&amp;Spells!$C109&amp;")")</f>
        <v/>
      </c>
      <c r="V569" s="67"/>
      <c r="W569" s="67"/>
      <c r="X569" s="68"/>
      <c r="CN569" s="32"/>
      <c r="CO569" s="32"/>
    </row>
    <row r="570" customFormat="false" ht="12.75" hidden="false" customHeight="false" outlineLevel="0" collapsed="false">
      <c r="A570" s="32" t="n">
        <f aca="false">A569+1</f>
        <v>18</v>
      </c>
      <c r="B570" s="268"/>
      <c r="C570" s="67" t="str">
        <f aca="false">IF(OR(T$602&lt;1,Spells!B20=""),"",Spells!B20&amp;" ("&amp;Spells!C20&amp;")")</f>
        <v/>
      </c>
      <c r="D570" s="67"/>
      <c r="E570" s="67"/>
      <c r="F570" s="68"/>
      <c r="G570" s="32" t="n">
        <f aca="false">G569+1</f>
        <v>48</v>
      </c>
      <c r="H570" s="268"/>
      <c r="I570" s="67" t="str">
        <f aca="false">IF(OR($T$602&lt;1,Spells!B50=""),"",Spells!B50&amp;" ("&amp;Spells!C50&amp;")")</f>
        <v/>
      </c>
      <c r="J570" s="67"/>
      <c r="K570" s="67"/>
      <c r="L570" s="68"/>
      <c r="M570" s="32" t="n">
        <f aca="false">M569+1</f>
        <v>78</v>
      </c>
      <c r="N570" s="268"/>
      <c r="O570" s="67" t="str">
        <f aca="false">IF(OR($T$602&lt;1,Spells!$B80=""),"",Spells!$B80&amp;" ("&amp;Spells!$C80&amp;")")</f>
        <v/>
      </c>
      <c r="P570" s="67"/>
      <c r="Q570" s="67"/>
      <c r="R570" s="68"/>
      <c r="S570" s="32" t="n">
        <f aca="false">S569+1</f>
        <v>108</v>
      </c>
      <c r="T570" s="268"/>
      <c r="U570" s="67" t="str">
        <f aca="false">IF(OR($T$602&lt;1,Spells!$B110=""),"",Spells!$B110&amp;" ("&amp;Spells!$C110&amp;")")</f>
        <v/>
      </c>
      <c r="V570" s="67"/>
      <c r="W570" s="67"/>
      <c r="X570" s="68"/>
      <c r="CN570" s="32"/>
      <c r="CO570" s="32"/>
    </row>
    <row r="571" customFormat="false" ht="12.75" hidden="false" customHeight="false" outlineLevel="0" collapsed="false">
      <c r="A571" s="32" t="n">
        <f aca="false">A570+1</f>
        <v>19</v>
      </c>
      <c r="B571" s="268"/>
      <c r="C571" s="67" t="str">
        <f aca="false">IF(OR(T$602&lt;1,Spells!B21=""),"",Spells!B21&amp;" ("&amp;Spells!C21&amp;")")</f>
        <v/>
      </c>
      <c r="D571" s="67"/>
      <c r="E571" s="67"/>
      <c r="F571" s="68"/>
      <c r="G571" s="32" t="n">
        <f aca="false">G570+1</f>
        <v>49</v>
      </c>
      <c r="H571" s="268"/>
      <c r="I571" s="67" t="str">
        <f aca="false">IF(OR($T$602&lt;1,Spells!B51=""),"",Spells!B51&amp;" ("&amp;Spells!C51&amp;")")</f>
        <v/>
      </c>
      <c r="J571" s="67"/>
      <c r="K571" s="67"/>
      <c r="L571" s="68"/>
      <c r="M571" s="32" t="n">
        <f aca="false">M570+1</f>
        <v>79</v>
      </c>
      <c r="N571" s="268"/>
      <c r="O571" s="67" t="str">
        <f aca="false">IF(OR($T$602&lt;1,Spells!$B81=""),"",Spells!$B81&amp;" ("&amp;Spells!$C81&amp;")")</f>
        <v/>
      </c>
      <c r="P571" s="67"/>
      <c r="Q571" s="67"/>
      <c r="R571" s="68"/>
      <c r="S571" s="32" t="n">
        <f aca="false">S570+1</f>
        <v>109</v>
      </c>
      <c r="T571" s="268"/>
      <c r="U571" s="67" t="str">
        <f aca="false">IF(OR($T$602&lt;1,Spells!$B111=""),"",Spells!$B111&amp;" ("&amp;Spells!$C111&amp;")")</f>
        <v/>
      </c>
      <c r="V571" s="67"/>
      <c r="W571" s="67"/>
      <c r="X571" s="68"/>
      <c r="CN571" s="32"/>
      <c r="CO571" s="32"/>
    </row>
    <row r="572" customFormat="false" ht="12.75" hidden="false" customHeight="false" outlineLevel="0" collapsed="false">
      <c r="A572" s="32" t="n">
        <f aca="false">A571+1</f>
        <v>20</v>
      </c>
      <c r="B572" s="268"/>
      <c r="C572" s="67" t="str">
        <f aca="false">IF(OR(T$602&lt;1,Spells!B22=""),"",Spells!B22&amp;" ("&amp;Spells!C22&amp;")")</f>
        <v/>
      </c>
      <c r="D572" s="67"/>
      <c r="E572" s="67"/>
      <c r="F572" s="68"/>
      <c r="G572" s="32" t="n">
        <f aca="false">G571+1</f>
        <v>50</v>
      </c>
      <c r="H572" s="268"/>
      <c r="I572" s="67" t="str">
        <f aca="false">IF(OR($T$602&lt;1,Spells!B52=""),"",Spells!B52&amp;" ("&amp;Spells!C52&amp;")")</f>
        <v/>
      </c>
      <c r="J572" s="67"/>
      <c r="K572" s="67"/>
      <c r="L572" s="68"/>
      <c r="M572" s="32" t="n">
        <f aca="false">M571+1</f>
        <v>80</v>
      </c>
      <c r="N572" s="268"/>
      <c r="O572" s="67" t="str">
        <f aca="false">IF(OR($T$602&lt;1,Spells!$B82=""),"",Spells!$B82&amp;" ("&amp;Spells!$C82&amp;")")</f>
        <v/>
      </c>
      <c r="P572" s="67"/>
      <c r="Q572" s="67"/>
      <c r="R572" s="68"/>
      <c r="S572" s="32" t="n">
        <f aca="false">S571+1</f>
        <v>110</v>
      </c>
      <c r="T572" s="268"/>
      <c r="U572" s="67" t="str">
        <f aca="false">IF(OR($T$602&lt;1,Spells!$B112=""),"",Spells!$B112&amp;" ("&amp;Spells!$C112&amp;")")</f>
        <v/>
      </c>
      <c r="V572" s="67"/>
      <c r="W572" s="67"/>
      <c r="X572" s="68"/>
      <c r="CN572" s="32"/>
      <c r="CO572" s="32"/>
    </row>
    <row r="573" customFormat="false" ht="12.75" hidden="false" customHeight="false" outlineLevel="0" collapsed="false">
      <c r="A573" s="32" t="n">
        <f aca="false">A572+1</f>
        <v>21</v>
      </c>
      <c r="B573" s="268"/>
      <c r="C573" s="67" t="str">
        <f aca="false">IF(OR(T$602&lt;1,Spells!B23=""),"",Spells!B23&amp;" ("&amp;Spells!C23&amp;")")</f>
        <v/>
      </c>
      <c r="D573" s="67"/>
      <c r="E573" s="67"/>
      <c r="F573" s="68"/>
      <c r="G573" s="32" t="n">
        <f aca="false">G572+1</f>
        <v>51</v>
      </c>
      <c r="H573" s="268"/>
      <c r="I573" s="67" t="str">
        <f aca="false">IF(OR($T$602&lt;1,Spells!B53=""),"",Spells!B53&amp;" ("&amp;Spells!C53&amp;")")</f>
        <v/>
      </c>
      <c r="J573" s="67"/>
      <c r="K573" s="67"/>
      <c r="L573" s="68"/>
      <c r="M573" s="32" t="n">
        <f aca="false">M572+1</f>
        <v>81</v>
      </c>
      <c r="N573" s="268"/>
      <c r="O573" s="67" t="str">
        <f aca="false">IF(OR($T$602&lt;1,Spells!$B83=""),"",Spells!$B83&amp;" ("&amp;Spells!$C83&amp;")")</f>
        <v/>
      </c>
      <c r="P573" s="67"/>
      <c r="Q573" s="67"/>
      <c r="R573" s="68"/>
      <c r="S573" s="32" t="n">
        <f aca="false">S572+1</f>
        <v>111</v>
      </c>
      <c r="T573" s="268"/>
      <c r="U573" s="67" t="str">
        <f aca="false">IF(OR($T$602&lt;1,Spells!$B113=""),"",Spells!$B113&amp;" ("&amp;Spells!$C113&amp;")")</f>
        <v/>
      </c>
      <c r="V573" s="67"/>
      <c r="W573" s="67"/>
      <c r="X573" s="68"/>
      <c r="CN573" s="32"/>
      <c r="CO573" s="32"/>
    </row>
    <row r="574" customFormat="false" ht="12.75" hidden="false" customHeight="false" outlineLevel="0" collapsed="false">
      <c r="A574" s="32" t="n">
        <f aca="false">A573+1</f>
        <v>22</v>
      </c>
      <c r="B574" s="268"/>
      <c r="C574" s="67" t="str">
        <f aca="false">IF(OR(T$602&lt;1,Spells!B24=""),"",Spells!B24&amp;" ("&amp;Spells!C24&amp;")")</f>
        <v/>
      </c>
      <c r="D574" s="67"/>
      <c r="E574" s="67"/>
      <c r="F574" s="68"/>
      <c r="G574" s="32" t="n">
        <f aca="false">G573+1</f>
        <v>52</v>
      </c>
      <c r="H574" s="268"/>
      <c r="I574" s="67" t="str">
        <f aca="false">IF(OR($T$602&lt;1,Spells!B54=""),"",Spells!B54&amp;" ("&amp;Spells!C54&amp;")")</f>
        <v/>
      </c>
      <c r="J574" s="67"/>
      <c r="K574" s="67"/>
      <c r="L574" s="68"/>
      <c r="M574" s="32" t="n">
        <f aca="false">M573+1</f>
        <v>82</v>
      </c>
      <c r="N574" s="268"/>
      <c r="O574" s="67" t="str">
        <f aca="false">IF(OR($T$602&lt;1,Spells!$B84=""),"",Spells!$B84&amp;" ("&amp;Spells!$C84&amp;")")</f>
        <v/>
      </c>
      <c r="P574" s="67"/>
      <c r="Q574" s="67"/>
      <c r="R574" s="68"/>
      <c r="S574" s="32" t="n">
        <f aca="false">S573+1</f>
        <v>112</v>
      </c>
      <c r="T574" s="268"/>
      <c r="U574" s="67" t="str">
        <f aca="false">IF(OR($T$602&lt;1,Spells!$B114=""),"",Spells!$B114&amp;" ("&amp;Spells!$C114&amp;")")</f>
        <v/>
      </c>
      <c r="V574" s="67"/>
      <c r="W574" s="67"/>
      <c r="X574" s="68"/>
      <c r="CN574" s="32"/>
      <c r="CO574" s="32"/>
    </row>
    <row r="575" customFormat="false" ht="12.75" hidden="false" customHeight="false" outlineLevel="0" collapsed="false">
      <c r="A575" s="32" t="n">
        <f aca="false">A574+1</f>
        <v>23</v>
      </c>
      <c r="B575" s="268"/>
      <c r="C575" s="67" t="str">
        <f aca="false">IF(OR(T$602&lt;1,Spells!B25=""),"",Spells!B25&amp;" ("&amp;Spells!C25&amp;")")</f>
        <v/>
      </c>
      <c r="D575" s="67"/>
      <c r="E575" s="67"/>
      <c r="F575" s="68"/>
      <c r="G575" s="32" t="n">
        <f aca="false">G574+1</f>
        <v>53</v>
      </c>
      <c r="H575" s="268"/>
      <c r="I575" s="67" t="str">
        <f aca="false">IF(OR($T$602&lt;1,Spells!B55=""),"",Spells!B55&amp;" ("&amp;Spells!C55&amp;")")</f>
        <v/>
      </c>
      <c r="J575" s="67"/>
      <c r="K575" s="67"/>
      <c r="L575" s="68"/>
      <c r="M575" s="32" t="n">
        <f aca="false">M574+1</f>
        <v>83</v>
      </c>
      <c r="N575" s="268"/>
      <c r="O575" s="67" t="str">
        <f aca="false">IF(OR($T$602&lt;1,Spells!$B85=""),"",Spells!$B85&amp;" ("&amp;Spells!$C85&amp;")")</f>
        <v/>
      </c>
      <c r="P575" s="67"/>
      <c r="Q575" s="67"/>
      <c r="R575" s="68"/>
      <c r="S575" s="32" t="n">
        <f aca="false">S574+1</f>
        <v>113</v>
      </c>
      <c r="T575" s="268"/>
      <c r="U575" s="67" t="str">
        <f aca="false">IF(OR($T$602&lt;1,Spells!$B115=""),"",Spells!$B115&amp;" ("&amp;Spells!$C115&amp;")")</f>
        <v/>
      </c>
      <c r="V575" s="67"/>
      <c r="W575" s="67"/>
      <c r="X575" s="68"/>
      <c r="CN575" s="32"/>
      <c r="CO575" s="32"/>
    </row>
    <row r="576" customFormat="false" ht="12.75" hidden="false" customHeight="false" outlineLevel="0" collapsed="false">
      <c r="A576" s="32" t="n">
        <f aca="false">A575+1</f>
        <v>24</v>
      </c>
      <c r="B576" s="268"/>
      <c r="C576" s="67" t="str">
        <f aca="false">IF(OR(T$602&lt;1,Spells!B26=""),"",Spells!B26&amp;" ("&amp;Spells!C26&amp;")")</f>
        <v/>
      </c>
      <c r="D576" s="67"/>
      <c r="E576" s="67"/>
      <c r="F576" s="68"/>
      <c r="G576" s="32" t="n">
        <f aca="false">G575+1</f>
        <v>54</v>
      </c>
      <c r="H576" s="268"/>
      <c r="I576" s="67" t="str">
        <f aca="false">IF(OR($T$602&lt;1,Spells!B56=""),"",Spells!B56&amp;" ("&amp;Spells!C56&amp;")")</f>
        <v/>
      </c>
      <c r="J576" s="67"/>
      <c r="K576" s="67"/>
      <c r="L576" s="68"/>
      <c r="M576" s="32" t="n">
        <f aca="false">M575+1</f>
        <v>84</v>
      </c>
      <c r="N576" s="268"/>
      <c r="O576" s="67" t="str">
        <f aca="false">IF(OR($T$602&lt;1,Spells!$B86=""),"",Spells!$B86&amp;" ("&amp;Spells!$C86&amp;")")</f>
        <v/>
      </c>
      <c r="P576" s="67"/>
      <c r="Q576" s="67"/>
      <c r="R576" s="68"/>
      <c r="S576" s="32" t="n">
        <f aca="false">S575+1</f>
        <v>114</v>
      </c>
      <c r="T576" s="268"/>
      <c r="U576" s="67" t="str">
        <f aca="false">IF(OR($T$602&lt;1,Spells!$B116=""),"",Spells!$B116&amp;" ("&amp;Spells!$C116&amp;")")</f>
        <v/>
      </c>
      <c r="V576" s="67"/>
      <c r="W576" s="67"/>
      <c r="X576" s="68"/>
      <c r="CN576" s="32"/>
      <c r="CO576" s="32"/>
    </row>
    <row r="577" customFormat="false" ht="12.75" hidden="false" customHeight="false" outlineLevel="0" collapsed="false">
      <c r="A577" s="32" t="n">
        <f aca="false">A576+1</f>
        <v>25</v>
      </c>
      <c r="B577" s="268"/>
      <c r="C577" s="67" t="str">
        <f aca="false">IF(OR(T$602&lt;1,Spells!B27=""),"",Spells!B27&amp;" ("&amp;Spells!C27&amp;")")</f>
        <v/>
      </c>
      <c r="D577" s="67"/>
      <c r="E577" s="67"/>
      <c r="F577" s="68"/>
      <c r="G577" s="32" t="n">
        <f aca="false">G576+1</f>
        <v>55</v>
      </c>
      <c r="H577" s="268"/>
      <c r="I577" s="67" t="str">
        <f aca="false">IF(OR($T$602&lt;1,Spells!B57=""),"",Spells!B57&amp;" ("&amp;Spells!C57&amp;")")</f>
        <v/>
      </c>
      <c r="J577" s="67"/>
      <c r="K577" s="67"/>
      <c r="L577" s="68"/>
      <c r="M577" s="32" t="n">
        <f aca="false">M576+1</f>
        <v>85</v>
      </c>
      <c r="N577" s="268"/>
      <c r="O577" s="67" t="str">
        <f aca="false">IF(OR($T$602&lt;1,Spells!$B87=""),"",Spells!$B87&amp;" ("&amp;Spells!$C87&amp;")")</f>
        <v/>
      </c>
      <c r="P577" s="67"/>
      <c r="Q577" s="67"/>
      <c r="R577" s="68"/>
      <c r="S577" s="32" t="n">
        <f aca="false">S576+1</f>
        <v>115</v>
      </c>
      <c r="T577" s="268"/>
      <c r="U577" s="67" t="str">
        <f aca="false">IF(OR($T$602&lt;1,Spells!$B117=""),"",Spells!$B117&amp;" ("&amp;Spells!$C117&amp;")")</f>
        <v/>
      </c>
      <c r="V577" s="67"/>
      <c r="W577" s="67"/>
      <c r="X577" s="68"/>
      <c r="CN577" s="32"/>
      <c r="CO577" s="32"/>
    </row>
    <row r="578" customFormat="false" ht="12.75" hidden="false" customHeight="false" outlineLevel="0" collapsed="false">
      <c r="A578" s="32" t="n">
        <f aca="false">A577+1</f>
        <v>26</v>
      </c>
      <c r="B578" s="268"/>
      <c r="C578" s="67" t="str">
        <f aca="false">IF(OR(T$602&lt;1,Spells!B28=""),"",Spells!B28&amp;" ("&amp;Spells!C28&amp;")")</f>
        <v/>
      </c>
      <c r="D578" s="67"/>
      <c r="E578" s="67"/>
      <c r="F578" s="68"/>
      <c r="G578" s="32" t="n">
        <f aca="false">G577+1</f>
        <v>56</v>
      </c>
      <c r="H578" s="268"/>
      <c r="I578" s="67" t="str">
        <f aca="false">IF(OR($T$602&lt;1,Spells!B58=""),"",Spells!B58&amp;" ("&amp;Spells!C58&amp;")")</f>
        <v/>
      </c>
      <c r="J578" s="67"/>
      <c r="K578" s="67"/>
      <c r="L578" s="68"/>
      <c r="M578" s="32" t="n">
        <f aca="false">M577+1</f>
        <v>86</v>
      </c>
      <c r="N578" s="268"/>
      <c r="O578" s="67" t="str">
        <f aca="false">IF(OR($T$602&lt;1,Spells!$B88=""),"",Spells!$B88&amp;" ("&amp;Spells!$C88&amp;")")</f>
        <v/>
      </c>
      <c r="P578" s="67"/>
      <c r="Q578" s="67"/>
      <c r="R578" s="68"/>
      <c r="S578" s="32" t="n">
        <f aca="false">S577+1</f>
        <v>116</v>
      </c>
      <c r="T578" s="268"/>
      <c r="U578" s="67" t="str">
        <f aca="false">IF(OR($T$602&lt;1,Spells!$B118=""),"",Spells!$B118&amp;" ("&amp;Spells!$C118&amp;")")</f>
        <v/>
      </c>
      <c r="V578" s="67"/>
      <c r="W578" s="67"/>
      <c r="X578" s="68"/>
      <c r="CN578" s="32"/>
      <c r="CO578" s="32"/>
    </row>
    <row r="579" customFormat="false" ht="12.75" hidden="false" customHeight="false" outlineLevel="0" collapsed="false">
      <c r="A579" s="32" t="n">
        <f aca="false">A578+1</f>
        <v>27</v>
      </c>
      <c r="B579" s="268"/>
      <c r="C579" s="67" t="str">
        <f aca="false">IF(OR(T$602&lt;1,Spells!B29=""),"",Spells!B29&amp;" ("&amp;Spells!C29&amp;")")</f>
        <v/>
      </c>
      <c r="D579" s="67"/>
      <c r="E579" s="67"/>
      <c r="F579" s="68"/>
      <c r="G579" s="32" t="n">
        <f aca="false">G578+1</f>
        <v>57</v>
      </c>
      <c r="H579" s="268"/>
      <c r="I579" s="67" t="str">
        <f aca="false">IF(OR($T$602&lt;1,Spells!B59=""),"",Spells!B59&amp;" ("&amp;Spells!C59&amp;")")</f>
        <v/>
      </c>
      <c r="J579" s="67"/>
      <c r="K579" s="67"/>
      <c r="L579" s="68"/>
      <c r="M579" s="32" t="n">
        <f aca="false">M578+1</f>
        <v>87</v>
      </c>
      <c r="N579" s="268"/>
      <c r="O579" s="67" t="str">
        <f aca="false">IF(OR($T$602&lt;1,Spells!$B89=""),"",Spells!$B89&amp;" ("&amp;Spells!$C89&amp;")")</f>
        <v/>
      </c>
      <c r="P579" s="67"/>
      <c r="Q579" s="67"/>
      <c r="R579" s="68"/>
      <c r="S579" s="32" t="n">
        <f aca="false">S578+1</f>
        <v>117</v>
      </c>
      <c r="T579" s="268"/>
      <c r="U579" s="67" t="str">
        <f aca="false">IF(OR($T$602&lt;1,Spells!$B119=""),"",Spells!$B119&amp;" ("&amp;Spells!$C119&amp;")")</f>
        <v/>
      </c>
      <c r="V579" s="67"/>
      <c r="W579" s="67"/>
      <c r="X579" s="68"/>
      <c r="CN579" s="32"/>
      <c r="CO579" s="32"/>
    </row>
    <row r="580" customFormat="false" ht="12.75" hidden="false" customHeight="false" outlineLevel="0" collapsed="false">
      <c r="A580" s="32" t="n">
        <f aca="false">A579+1</f>
        <v>28</v>
      </c>
      <c r="B580" s="268"/>
      <c r="C580" s="67" t="str">
        <f aca="false">IF(OR(T$602&lt;1,Spells!B30=""),"",Spells!B30&amp;" ("&amp;Spells!C30&amp;")")</f>
        <v/>
      </c>
      <c r="D580" s="67"/>
      <c r="E580" s="67"/>
      <c r="F580" s="68"/>
      <c r="G580" s="32" t="n">
        <f aca="false">G579+1</f>
        <v>58</v>
      </c>
      <c r="H580" s="268"/>
      <c r="I580" s="67" t="str">
        <f aca="false">IF(OR($T$602&lt;1,Spells!B60=""),"",Spells!B60&amp;" ("&amp;Spells!C60&amp;")")</f>
        <v/>
      </c>
      <c r="J580" s="67"/>
      <c r="K580" s="67"/>
      <c r="L580" s="68"/>
      <c r="M580" s="32" t="n">
        <f aca="false">M579+1</f>
        <v>88</v>
      </c>
      <c r="N580" s="268"/>
      <c r="O580" s="67" t="str">
        <f aca="false">IF(OR($T$602&lt;1,Spells!$B90=""),"",Spells!$B90&amp;" ("&amp;Spells!$C90&amp;")")</f>
        <v/>
      </c>
      <c r="P580" s="67"/>
      <c r="Q580" s="67"/>
      <c r="R580" s="68"/>
      <c r="S580" s="32" t="n">
        <f aca="false">S579+1</f>
        <v>118</v>
      </c>
      <c r="T580" s="268"/>
      <c r="U580" s="67" t="str">
        <f aca="false">IF(OR($T$602&lt;1,Spells!$B120=""),"",Spells!$B120&amp;" ("&amp;Spells!$C120&amp;")")</f>
        <v/>
      </c>
      <c r="V580" s="67"/>
      <c r="W580" s="67"/>
      <c r="X580" s="68"/>
      <c r="CN580" s="32"/>
      <c r="CO580" s="32"/>
    </row>
    <row r="581" customFormat="false" ht="12.75" hidden="false" customHeight="false" outlineLevel="0" collapsed="false">
      <c r="A581" s="32" t="n">
        <f aca="false">A580+1</f>
        <v>29</v>
      </c>
      <c r="B581" s="268"/>
      <c r="C581" s="67" t="str">
        <f aca="false">IF(OR(T$602&lt;1,Spells!B31=""),"",Spells!B31&amp;" ("&amp;Spells!C31&amp;")")</f>
        <v/>
      </c>
      <c r="D581" s="67"/>
      <c r="E581" s="67"/>
      <c r="F581" s="68"/>
      <c r="G581" s="32" t="n">
        <f aca="false">G580+1</f>
        <v>59</v>
      </c>
      <c r="H581" s="268"/>
      <c r="I581" s="67" t="str">
        <f aca="false">IF(OR($T$602&lt;1,Spells!B61=""),"",Spells!B61&amp;" ("&amp;Spells!C61&amp;")")</f>
        <v/>
      </c>
      <c r="J581" s="67"/>
      <c r="K581" s="67"/>
      <c r="L581" s="68"/>
      <c r="M581" s="32" t="n">
        <f aca="false">M580+1</f>
        <v>89</v>
      </c>
      <c r="N581" s="268"/>
      <c r="O581" s="67" t="str">
        <f aca="false">IF(OR($T$602&lt;1,Spells!$B91=""),"",Spells!$B91&amp;" ("&amp;Spells!$C91&amp;")")</f>
        <v/>
      </c>
      <c r="P581" s="67"/>
      <c r="Q581" s="67"/>
      <c r="R581" s="68"/>
      <c r="S581" s="32" t="n">
        <f aca="false">S580+1</f>
        <v>119</v>
      </c>
      <c r="T581" s="268"/>
      <c r="U581" s="67" t="str">
        <f aca="false">IF(OR($T$602&lt;1,Spells!$B121=""),"",Spells!$B121&amp;" ("&amp;Spells!$C121&amp;")")</f>
        <v/>
      </c>
      <c r="V581" s="67"/>
      <c r="W581" s="67"/>
      <c r="X581" s="68"/>
      <c r="CN581" s="32"/>
      <c r="CO581" s="32"/>
    </row>
    <row r="582" customFormat="false" ht="12.75" hidden="false" customHeight="false" outlineLevel="0" collapsed="false">
      <c r="A582" s="32" t="n">
        <f aca="false">A581+1</f>
        <v>30</v>
      </c>
      <c r="B582" s="269"/>
      <c r="C582" s="94" t="str">
        <f aca="false">IF(OR(T$602&lt;1,Spells!B32=""),"",Spells!B32&amp;" ("&amp;Spells!C32&amp;")")</f>
        <v/>
      </c>
      <c r="D582" s="94"/>
      <c r="E582" s="94"/>
      <c r="F582" s="96"/>
      <c r="G582" s="32" t="n">
        <f aca="false">G581+1</f>
        <v>60</v>
      </c>
      <c r="H582" s="269"/>
      <c r="I582" s="94" t="str">
        <f aca="false">IF(OR($T$602&lt;1,Spells!B62=""),"",Spells!B62&amp;" ("&amp;Spells!C62&amp;")")</f>
        <v/>
      </c>
      <c r="J582" s="94"/>
      <c r="K582" s="94"/>
      <c r="L582" s="96"/>
      <c r="M582" s="32" t="n">
        <f aca="false">M581+1</f>
        <v>90</v>
      </c>
      <c r="N582" s="269"/>
      <c r="O582" s="94" t="str">
        <f aca="false">IF(OR($T$602&lt;1,Spells!$B92=""),"",Spells!$B92&amp;" ("&amp;Spells!$C92&amp;")")</f>
        <v/>
      </c>
      <c r="P582" s="94"/>
      <c r="Q582" s="94"/>
      <c r="R582" s="96"/>
      <c r="S582" s="32" t="n">
        <f aca="false">S581+1</f>
        <v>120</v>
      </c>
      <c r="T582" s="269"/>
      <c r="U582" s="94" t="str">
        <f aca="false">IF(OR($T$602&lt;1,Spells!$B122=""),"",Spells!$B122&amp;" ("&amp;Spells!$C122&amp;")")</f>
        <v/>
      </c>
      <c r="V582" s="94"/>
      <c r="W582" s="94"/>
      <c r="X582" s="96"/>
      <c r="CN582" s="32"/>
      <c r="CO582" s="32"/>
    </row>
    <row r="583" customFormat="false" ht="12.75" hidden="false" customHeight="false" outlineLevel="0" collapsed="false">
      <c r="CN583" s="32"/>
      <c r="CO583" s="32"/>
    </row>
    <row r="584" customFormat="false" ht="12.75" hidden="false" customHeight="false" outlineLevel="0" collapsed="false">
      <c r="CN584" s="32"/>
      <c r="CO584" s="32"/>
    </row>
    <row r="585" customFormat="false" ht="12.75" hidden="false" customHeight="false" outlineLevel="0" collapsed="false">
      <c r="A585" s="275" t="s">
        <v>943</v>
      </c>
      <c r="B585" s="276"/>
      <c r="C585" s="276"/>
      <c r="D585" s="276"/>
      <c r="E585" s="276"/>
      <c r="F585" s="276"/>
      <c r="G585" s="276"/>
      <c r="H585" s="276"/>
      <c r="I585" s="276"/>
      <c r="J585" s="276"/>
      <c r="K585" s="276"/>
      <c r="L585" s="276"/>
      <c r="M585" s="276"/>
      <c r="N585" s="276"/>
      <c r="O585" s="276"/>
      <c r="P585" s="276"/>
      <c r="CN585" s="32"/>
      <c r="CO585" s="32"/>
    </row>
    <row r="586" customFormat="false" ht="12.75" hidden="false" customHeight="false" outlineLevel="0" collapsed="false">
      <c r="A586" s="275" t="s">
        <v>944</v>
      </c>
      <c r="B586" s="276"/>
      <c r="C586" s="276"/>
      <c r="D586" s="276"/>
      <c r="E586" s="276"/>
      <c r="F586" s="276"/>
      <c r="G586" s="276"/>
      <c r="H586" s="276"/>
      <c r="I586" s="276"/>
      <c r="J586" s="276"/>
      <c r="K586" s="276"/>
      <c r="L586" s="276"/>
      <c r="M586" s="276"/>
      <c r="N586" s="276"/>
      <c r="O586" s="276"/>
      <c r="P586" s="276"/>
      <c r="CN586" s="32"/>
      <c r="CO586" s="32"/>
    </row>
    <row r="587" customFormat="false" ht="12.75" hidden="false" customHeight="false" outlineLevel="0" collapsed="false">
      <c r="CN587" s="32"/>
      <c r="CO587" s="32"/>
    </row>
    <row r="588" customFormat="false" ht="12.75" hidden="false" customHeight="false" outlineLevel="0" collapsed="false">
      <c r="CN588" s="32"/>
      <c r="CO588" s="32"/>
    </row>
    <row r="589" customFormat="false" ht="12.75" hidden="false" customHeight="false" outlineLevel="0" collapsed="false">
      <c r="CN589" s="32"/>
      <c r="CO589" s="32"/>
    </row>
    <row r="590" customFormat="false" ht="12.75" hidden="false" customHeight="false" outlineLevel="0" collapsed="false">
      <c r="CN590" s="32"/>
      <c r="CO590" s="32"/>
    </row>
    <row r="591" customFormat="false" ht="12.75" hidden="false" customHeight="false" outlineLevel="0" collapsed="false">
      <c r="B591" s="56"/>
      <c r="C591" s="56"/>
      <c r="D591" s="56"/>
      <c r="E591" s="56"/>
      <c r="F591" s="56"/>
      <c r="H591" s="56"/>
      <c r="I591" s="56"/>
      <c r="J591" s="56"/>
      <c r="K591" s="56"/>
      <c r="L591" s="56"/>
      <c r="N591" s="56"/>
      <c r="O591" s="56"/>
      <c r="P591" s="56"/>
      <c r="Q591" s="56"/>
      <c r="R591" s="56"/>
      <c r="T591" s="56"/>
      <c r="U591" s="56"/>
      <c r="V591" s="56"/>
      <c r="W591" s="56"/>
      <c r="X591" s="56"/>
      <c r="AD591" s="277" t="s">
        <v>945</v>
      </c>
      <c r="AE591" s="116" t="s">
        <v>946</v>
      </c>
      <c r="AF591" s="278" t="str">
        <f aca="false">MID(C610,6,11)&amp;MID(C610,6,11)</f>
        <v>PDPD</v>
      </c>
      <c r="AH591" s="277" t="s">
        <v>945</v>
      </c>
      <c r="AI591" s="116" t="s">
        <v>946</v>
      </c>
      <c r="AJ591" s="278" t="e">
        <f aca="false">MID(G610,6,10)&amp;MID(G611,6,10)</f>
        <v>#VALUE!</v>
      </c>
      <c r="CN591" s="32"/>
      <c r="CO591" s="32"/>
    </row>
    <row r="592" customFormat="false" ht="12.75" hidden="false" customHeight="false" outlineLevel="0" collapsed="false">
      <c r="B592" s="56"/>
      <c r="C592" s="56"/>
      <c r="D592" s="56"/>
      <c r="E592" s="56"/>
      <c r="F592" s="56"/>
      <c r="H592" s="56"/>
      <c r="I592" s="56"/>
      <c r="J592" s="56"/>
      <c r="K592" s="56"/>
      <c r="L592" s="56"/>
      <c r="N592" s="56"/>
      <c r="O592" s="56"/>
      <c r="P592" s="56"/>
      <c r="Q592" s="56"/>
      <c r="R592" s="56"/>
      <c r="T592" s="56"/>
      <c r="U592" s="56"/>
      <c r="V592" s="56"/>
      <c r="W592" s="56"/>
      <c r="X592" s="56"/>
      <c r="AD592" s="279" t="s">
        <v>255</v>
      </c>
      <c r="AE592" s="177" t="s">
        <v>165</v>
      </c>
      <c r="AF592" s="280" t="str">
        <f aca="false">IF(ISERROR(FIND($AD592,AF$591)),"",", "&amp;$AE592)</f>
        <v>, Dexterity</v>
      </c>
      <c r="AH592" s="281" t="s">
        <v>947</v>
      </c>
      <c r="AI592" s="67" t="s">
        <v>948</v>
      </c>
      <c r="AJ592" s="280" t="str">
        <f aca="false">AF610&amp;IF(ISERROR(FIND($AH592,AF$591)),"",", "&amp;$AI592)</f>
        <v>, Dexterity, Perception</v>
      </c>
      <c r="CN592" s="32"/>
      <c r="CO592" s="32"/>
    </row>
    <row r="593" customFormat="false" ht="12.75" hidden="false" customHeight="false" outlineLevel="0" collapsed="false">
      <c r="B593" s="277" t="s">
        <v>167</v>
      </c>
      <c r="C593" s="116" t="s">
        <v>949</v>
      </c>
      <c r="D593" s="282" t="s">
        <v>950</v>
      </c>
      <c r="E593" s="277" t="s">
        <v>951</v>
      </c>
      <c r="F593" s="116" t="s">
        <v>952</v>
      </c>
      <c r="G593" s="116" t="s">
        <v>953</v>
      </c>
      <c r="H593" s="116" t="s">
        <v>954</v>
      </c>
      <c r="I593" s="116" t="s">
        <v>955</v>
      </c>
      <c r="J593" s="116" t="s">
        <v>956</v>
      </c>
      <c r="K593" s="116" t="s">
        <v>957</v>
      </c>
      <c r="L593" s="116" t="s">
        <v>958</v>
      </c>
      <c r="M593" s="116" t="s">
        <v>163</v>
      </c>
      <c r="N593" s="116" t="s">
        <v>959</v>
      </c>
      <c r="O593" s="116" t="s">
        <v>155</v>
      </c>
      <c r="P593" s="116" t="s">
        <v>960</v>
      </c>
      <c r="Q593" s="116" t="s">
        <v>961</v>
      </c>
      <c r="R593" s="116" t="s">
        <v>181</v>
      </c>
      <c r="S593" s="116" t="s">
        <v>962</v>
      </c>
      <c r="T593" s="116" t="s">
        <v>963</v>
      </c>
      <c r="U593" s="116" t="s">
        <v>964</v>
      </c>
      <c r="V593" s="116" t="s">
        <v>965</v>
      </c>
      <c r="W593" s="282" t="s">
        <v>966</v>
      </c>
      <c r="AD593" s="279" t="s">
        <v>270</v>
      </c>
      <c r="AE593" s="177" t="s">
        <v>171</v>
      </c>
      <c r="AF593" s="280" t="str">
        <f aca="false">AF592&amp;IF(ISERROR(FIND($AD593,AF$592)),"",", "&amp;$AE593)</f>
        <v>, Dexterity</v>
      </c>
      <c r="AH593" s="281" t="s">
        <v>967</v>
      </c>
      <c r="AI593" s="67" t="s">
        <v>968</v>
      </c>
      <c r="AJ593" s="280" t="str">
        <f aca="false">AJ592&amp;IF(ISERROR(FIND($AH593,AF$591)),"",", "&amp;$AI593)</f>
        <v>, Dexterity, Perception</v>
      </c>
      <c r="CN593" s="32"/>
      <c r="CO593" s="32"/>
    </row>
    <row r="594" customFormat="false" ht="12.75" hidden="false" customHeight="false" outlineLevel="0" collapsed="false">
      <c r="B594" s="279" t="n">
        <f aca="false">MATCH(Race,Tables!E5:E13)</f>
        <v>3</v>
      </c>
      <c r="C594" s="67" t="n">
        <f aca="false">NOT(ISERROR(MATCH(Discipline1,Disciplines!C3:BA3, 0)))</f>
        <v>1</v>
      </c>
      <c r="D594" s="283" t="n">
        <f aca="false">NOT(ISERROR(MATCH(Discipline2,Disciplines!C3:BA3, 0)))</f>
        <v>1</v>
      </c>
      <c r="E594" s="279" t="n">
        <f aca="true" t="array" ref="E594:W594">OFFSET(RacialHeader,B594,0)</f>
        <v>11</v>
      </c>
      <c r="F594" s="64" t="n">
        <v>9</v>
      </c>
      <c r="G594" s="64" t="n">
        <v>10</v>
      </c>
      <c r="H594" s="64" t="n">
        <v>10</v>
      </c>
      <c r="I594" s="64" t="n">
        <v>10</v>
      </c>
      <c r="J594" s="64" t="n">
        <v>10</v>
      </c>
      <c r="K594" s="64" t="n">
        <v>6</v>
      </c>
      <c r="L594" s="178" t="str">
        <v>Versatility Talent</v>
      </c>
      <c r="M594" s="178" t="str">
        <v>Human</v>
      </c>
      <c r="N594" s="64" t="str">
        <v>d6</v>
      </c>
      <c r="O594" s="64" t="n">
        <v>10</v>
      </c>
      <c r="P594" s="64" t="n">
        <v>0</v>
      </c>
      <c r="Q594" s="64" t="str">
        <v>Karma Ritual Rank x 5</v>
      </c>
      <c r="R594" s="64" t="n">
        <v>1</v>
      </c>
      <c r="S594" s="64" t="n">
        <v>1</v>
      </c>
      <c r="T594" s="64" t="n">
        <v>3</v>
      </c>
      <c r="U594" s="64" t="n">
        <v>6</v>
      </c>
      <c r="V594" s="64" t="n">
        <v>1</v>
      </c>
      <c r="W594" s="284" t="n">
        <v>6</v>
      </c>
      <c r="AD594" s="279" t="s">
        <v>969</v>
      </c>
      <c r="AE594" s="177" t="s">
        <v>178</v>
      </c>
      <c r="AF594" s="280" t="str">
        <f aca="false">AF593&amp;IF(ISERROR(FIND($AD594,AF$591)),"",", "&amp;$AE594)</f>
        <v>, Dexterity</v>
      </c>
      <c r="AH594" s="281" t="s">
        <v>970</v>
      </c>
      <c r="AI594" s="67" t="s">
        <v>971</v>
      </c>
      <c r="AJ594" s="280" t="str">
        <f aca="false">AJ593&amp;IF(ISERROR(FIND($AH594,AF$591)),"",", "&amp;$AI594)</f>
        <v>, Dexterity, Perception</v>
      </c>
      <c r="CN594" s="32"/>
      <c r="CO594" s="32"/>
    </row>
    <row r="595" customFormat="false" ht="12.75" hidden="false" customHeight="false" outlineLevel="0" collapsed="false">
      <c r="AD595" s="279" t="s">
        <v>253</v>
      </c>
      <c r="AE595" s="177" t="s">
        <v>183</v>
      </c>
      <c r="AF595" s="280" t="str">
        <f aca="false">AF594&amp;IF(ISERROR(FIND($AD595,AF$591)),"",", "&amp;$AE595)</f>
        <v>, Dexterity, Perception</v>
      </c>
      <c r="AH595" s="281" t="s">
        <v>972</v>
      </c>
      <c r="AI595" s="67" t="s">
        <v>973</v>
      </c>
      <c r="AJ595" s="280" t="str">
        <f aca="false">AJ594&amp;IF(ISERROR(FIND($AH595,AF$591)),"",", "&amp;$AI595)</f>
        <v>, Dexterity, Perception</v>
      </c>
      <c r="CN595" s="32"/>
      <c r="CO595" s="32"/>
    </row>
    <row r="596" customFormat="false" ht="12.75" hidden="false" customHeight="false" outlineLevel="0" collapsed="false">
      <c r="A596" s="56"/>
      <c r="B596" s="277" t="s">
        <v>196</v>
      </c>
      <c r="C596" s="116" t="s">
        <v>974</v>
      </c>
      <c r="D596" s="116" t="s">
        <v>975</v>
      </c>
      <c r="E596" s="282" t="s">
        <v>976</v>
      </c>
      <c r="G596" s="277" t="s">
        <v>248</v>
      </c>
      <c r="H596" s="116" t="s">
        <v>230</v>
      </c>
      <c r="I596" s="116" t="s">
        <v>977</v>
      </c>
      <c r="J596" s="116" t="s">
        <v>978</v>
      </c>
      <c r="K596" s="116" t="s">
        <v>142</v>
      </c>
      <c r="L596" s="116" t="s">
        <v>341</v>
      </c>
      <c r="M596" s="116" t="s">
        <v>979</v>
      </c>
      <c r="N596" s="282" t="s">
        <v>980</v>
      </c>
      <c r="P596" s="277"/>
      <c r="Q596" s="116" t="s">
        <v>981</v>
      </c>
      <c r="R596" s="116" t="s">
        <v>982</v>
      </c>
      <c r="S596" s="116" t="s">
        <v>980</v>
      </c>
      <c r="T596" s="116" t="s">
        <v>196</v>
      </c>
      <c r="U596" s="116" t="s">
        <v>978</v>
      </c>
      <c r="V596" s="116" t="s">
        <v>983</v>
      </c>
      <c r="W596" s="282" t="s">
        <v>341</v>
      </c>
      <c r="X596" s="277" t="s">
        <v>255</v>
      </c>
      <c r="Y596" s="284" t="n">
        <f aca="false">DexStep</f>
        <v>7</v>
      </c>
      <c r="Z596" s="42"/>
      <c r="AD596" s="279" t="s">
        <v>262</v>
      </c>
      <c r="AE596" s="177" t="s">
        <v>187</v>
      </c>
      <c r="AF596" s="280" t="str">
        <f aca="false">AF595&amp;IF(ISERROR(FIND($AD596,AF$591)),"",", "&amp;$AE596)</f>
        <v>, Dexterity, Perception</v>
      </c>
      <c r="AH596" s="281" t="s">
        <v>220</v>
      </c>
      <c r="AI596" s="67" t="s">
        <v>984</v>
      </c>
      <c r="AJ596" s="280" t="str">
        <f aca="false">AJ595&amp;IF(ISERROR(FIND($AH596,AF$591)),"",", "&amp;$AI596)</f>
        <v>, Dexterity, Perception</v>
      </c>
      <c r="CN596" s="32"/>
      <c r="CO596" s="32"/>
    </row>
    <row r="597" customFormat="false" ht="12.75" hidden="false" customHeight="false" outlineLevel="0" collapsed="false">
      <c r="A597" s="285" t="s">
        <v>985</v>
      </c>
      <c r="B597" s="286" t="n">
        <f aca="false">VLOOKUP("Durability",Durability,5,0)+I63</f>
        <v>8</v>
      </c>
      <c r="C597" s="182" t="n">
        <f aca="false">IF(Circle1&lt;2, 0, HLOOKUP(Discipline1, Disciplines!C47:BB49, 2, 0))</f>
        <v>6</v>
      </c>
      <c r="D597" s="182" t="n">
        <f aca="false">IF(Circle1&lt;2, 0, HLOOKUP(Discipline1, Disciplines!C47:BB49, 3, 0))</f>
        <v>5</v>
      </c>
      <c r="E597" s="287" t="n">
        <f aca="false">OR(B597&gt;B598, C597&gt;=C598)</f>
        <v>1</v>
      </c>
      <c r="G597" s="279" t="s">
        <v>255</v>
      </c>
      <c r="H597" s="64" t="n">
        <f aca="false">Q8</f>
        <v>16</v>
      </c>
      <c r="I597" s="64" t="n">
        <f aca="false">SpecDex</f>
        <v>0</v>
      </c>
      <c r="J597" s="64" t="n">
        <f aca="false">D63</f>
        <v>0</v>
      </c>
      <c r="K597" s="64" t="n">
        <f aca="false">SUM(H597:J597)</f>
        <v>16</v>
      </c>
      <c r="L597" s="64" t="n">
        <f aca="false">INT((K597+5)/3)</f>
        <v>7</v>
      </c>
      <c r="M597" s="64" t="str">
        <f aca="true">OFFSET(ActionDice, L597, 0)</f>
        <v>d12</v>
      </c>
      <c r="N597" s="284" t="str">
        <f aca="false">H597+I597&amp;IF(J597&gt;0, "+"&amp;J597, "")</f>
        <v>16</v>
      </c>
      <c r="P597" s="281" t="s">
        <v>986</v>
      </c>
      <c r="Q597" s="64" t="n">
        <f aca="false">IF(P597=Discipline1_2, Circle1, IF(P597=Discipline2_2, Circle2, 0))</f>
        <v>0</v>
      </c>
      <c r="R597" s="64" t="e">
        <f aca="false">MATCH("Thread Weaving ("&amp;P597&amp;")",D$616:D$713,0)</f>
        <v>#N/A</v>
      </c>
      <c r="S597" s="64" t="e">
        <f aca="true">OFFSET(N$615,R597,0)</f>
        <v>#N/A</v>
      </c>
      <c r="T597" s="64" t="n">
        <f aca="true">IF(ISERROR(R597),0,OFFSET(E$615,R597,0))</f>
        <v>0</v>
      </c>
      <c r="U597" s="64" t="e">
        <f aca="true">OFFSET(I$615,R597,0)</f>
        <v>#N/A</v>
      </c>
      <c r="V597" s="64" t="e">
        <f aca="false">T597&amp;IF(U597&gt;0,"+"&amp;U597,"")</f>
        <v>#N/A</v>
      </c>
      <c r="W597" s="284" t="e">
        <f aca="false">T597+U597+PerStep</f>
        <v>#N/A</v>
      </c>
      <c r="X597" s="277" t="s">
        <v>270</v>
      </c>
      <c r="Y597" s="284" t="n">
        <f aca="false">StrStep</f>
        <v>6</v>
      </c>
      <c r="Z597" s="42"/>
      <c r="AD597" s="279" t="s">
        <v>259</v>
      </c>
      <c r="AE597" s="177" t="s">
        <v>191</v>
      </c>
      <c r="AF597" s="280" t="str">
        <f aca="false">AF596&amp;IF(ISERROR(FIND($AD597,AF$591)),"",", "&amp;$AE597)</f>
        <v>, Dexterity, Perception</v>
      </c>
      <c r="AH597" s="281" t="s">
        <v>987</v>
      </c>
      <c r="AI597" s="67" t="s">
        <v>988</v>
      </c>
      <c r="AJ597" s="280" t="str">
        <f aca="false">AJ596&amp;IF(ISERROR(FIND($AH597,AF$591)),"",", "&amp;$AI597)</f>
        <v>, Dexterity, Perception</v>
      </c>
      <c r="CN597" s="32"/>
      <c r="CO597" s="32"/>
    </row>
    <row r="598" customFormat="false" ht="12.75" hidden="false" customHeight="false" outlineLevel="0" collapsed="false">
      <c r="A598" s="285" t="s">
        <v>989</v>
      </c>
      <c r="B598" s="288" t="n">
        <f aca="false">W24+X24</f>
        <v>0</v>
      </c>
      <c r="C598" s="175" t="n">
        <f aca="false">IF(OR(Discipline2="", Circle2&lt;2), 0, HLOOKUP(Discipline2,Disciplines!C47:BB49, 2, 0))</f>
        <v>0</v>
      </c>
      <c r="D598" s="175" t="n">
        <f aca="false">IF(OR(Discipline2="", Circle2&lt;2), 0, HLOOKUP(Discipline2,Disciplines!C47:BB49,3, 0))</f>
        <v>0</v>
      </c>
      <c r="E598" s="289" t="n">
        <f aca="false">OR(B598&gt;B597, C598&gt;C597)</f>
        <v>0</v>
      </c>
      <c r="G598" s="279" t="s">
        <v>270</v>
      </c>
      <c r="H598" s="64" t="n">
        <f aca="false">Q9</f>
        <v>13</v>
      </c>
      <c r="I598" s="64" t="n">
        <f aca="false">SpecStr</f>
        <v>0</v>
      </c>
      <c r="J598" s="64" t="n">
        <f aca="false">D64</f>
        <v>0</v>
      </c>
      <c r="K598" s="64" t="n">
        <f aca="false">SUM(H598:J598)</f>
        <v>13</v>
      </c>
      <c r="L598" s="64" t="n">
        <f aca="false">INT((K598+5)/3)</f>
        <v>6</v>
      </c>
      <c r="M598" s="64" t="str">
        <f aca="true">OFFSET(ActionDice, L598, 0)</f>
        <v>d10</v>
      </c>
      <c r="N598" s="284" t="str">
        <f aca="false">H598+I598&amp;IF(J598&gt;0, "+"&amp;J598, "")</f>
        <v>13</v>
      </c>
      <c r="P598" s="281" t="s">
        <v>990</v>
      </c>
      <c r="Q598" s="64" t="n">
        <f aca="false">IF(P598=Discipline1, Circle1, IF(P598=Discipline2, Circle2, 0))</f>
        <v>0</v>
      </c>
      <c r="R598" s="64" t="e">
        <f aca="false">MATCH("Thread Weaving ("&amp;P598&amp;")",D$616:D$713,0)</f>
        <v>#N/A</v>
      </c>
      <c r="S598" s="64" t="e">
        <f aca="true">OFFSET(N$615,R598,0)</f>
        <v>#N/A</v>
      </c>
      <c r="T598" s="64" t="n">
        <f aca="true">IF(ISERROR(R598),0,OFFSET(E$615,R598,0))</f>
        <v>0</v>
      </c>
      <c r="U598" s="64" t="e">
        <f aca="true">OFFSET(I$615,R598,0)</f>
        <v>#N/A</v>
      </c>
      <c r="V598" s="64" t="e">
        <f aca="false">T598&amp;IF(U598&gt;0,"+"&amp;U598,"")</f>
        <v>#N/A</v>
      </c>
      <c r="W598" s="284" t="e">
        <f aca="false">T598+U598+PerStep</f>
        <v>#N/A</v>
      </c>
      <c r="X598" s="277" t="s">
        <v>969</v>
      </c>
      <c r="Y598" s="284" t="n">
        <f aca="false">TouStep</f>
        <v>6</v>
      </c>
      <c r="Z598" s="42"/>
      <c r="AD598" s="279" t="s">
        <v>991</v>
      </c>
      <c r="AE598" s="177" t="s">
        <v>992</v>
      </c>
      <c r="AF598" s="280" t="str">
        <f aca="false">AF597&amp;IF(ISERROR(FIND($AD598,AF$591)),"",", "&amp;$AE598)</f>
        <v>, Dexterity, Perception</v>
      </c>
      <c r="AH598" s="281" t="s">
        <v>993</v>
      </c>
      <c r="AI598" s="67" t="s">
        <v>994</v>
      </c>
      <c r="AJ598" s="280" t="str">
        <f aca="false">AJ597&amp;IF(ISERROR(FIND($AH598,AF$591)),"",", "&amp;$AI598)</f>
        <v>, Dexterity, Perception</v>
      </c>
      <c r="CN598" s="32"/>
      <c r="CO598" s="32"/>
    </row>
    <row r="599" customFormat="false" ht="12.75" hidden="false" customHeight="false" outlineLevel="0" collapsed="false">
      <c r="A599" s="285" t="s">
        <v>995</v>
      </c>
      <c r="B599" s="286" t="n">
        <f aca="false">MIN(B597:B598)</f>
        <v>0</v>
      </c>
      <c r="C599" s="182" t="n">
        <f aca="false">VLOOKUP(B599, B597:D598, 2, 0)</f>
        <v>0</v>
      </c>
      <c r="D599" s="182" t="n">
        <f aca="false">VLOOKUP(B599, B597:D598, 3, 0)</f>
        <v>0</v>
      </c>
      <c r="E599" s="290"/>
      <c r="G599" s="279" t="s">
        <v>969</v>
      </c>
      <c r="H599" s="64" t="n">
        <f aca="false">Q10</f>
        <v>14</v>
      </c>
      <c r="I599" s="64" t="n">
        <f aca="false">SpecTou</f>
        <v>0</v>
      </c>
      <c r="J599" s="64" t="n">
        <f aca="false">D65</f>
        <v>0</v>
      </c>
      <c r="K599" s="64" t="n">
        <f aca="false">SUM(H599:J599)</f>
        <v>14</v>
      </c>
      <c r="L599" s="64" t="n">
        <f aca="false">INT((K599+5)/3)</f>
        <v>6</v>
      </c>
      <c r="M599" s="64" t="str">
        <f aca="true">OFFSET(ActionDice, L599, 0)</f>
        <v>d10</v>
      </c>
      <c r="N599" s="284" t="str">
        <f aca="false">H599+I599&amp;IF(J599&gt;0, "+"&amp;J599, "")</f>
        <v>14</v>
      </c>
      <c r="P599" s="281" t="s">
        <v>996</v>
      </c>
      <c r="Q599" s="64" t="n">
        <f aca="false">IF(P599=Discipline1, Circle1, IF(P599=Discipline2, Circle2, 0))</f>
        <v>0</v>
      </c>
      <c r="R599" s="64" t="e">
        <f aca="false">MATCH("Thread Weaving ("&amp;P599&amp;")",D$616:D$713,0)</f>
        <v>#N/A</v>
      </c>
      <c r="S599" s="64" t="e">
        <f aca="true">OFFSET(N$615,R599,0)</f>
        <v>#N/A</v>
      </c>
      <c r="T599" s="64" t="n">
        <f aca="true">IF(ISERROR(R599),0,OFFSET(E$615,R599,0))</f>
        <v>0</v>
      </c>
      <c r="U599" s="64" t="e">
        <f aca="true">OFFSET(I$615,R599,0)</f>
        <v>#N/A</v>
      </c>
      <c r="V599" s="64" t="e">
        <f aca="false">T599&amp;IF(U599&gt;0,"+"&amp;U599,"")</f>
        <v>#N/A</v>
      </c>
      <c r="W599" s="284" t="e">
        <f aca="false">T599+U599+PerStep</f>
        <v>#N/A</v>
      </c>
      <c r="X599" s="277" t="s">
        <v>253</v>
      </c>
      <c r="Y599" s="284" t="n">
        <f aca="false">PerStep</f>
        <v>7</v>
      </c>
      <c r="Z599" s="42"/>
      <c r="AD599" s="279" t="s">
        <v>997</v>
      </c>
      <c r="AE599" s="177" t="s">
        <v>998</v>
      </c>
      <c r="AF599" s="280" t="str">
        <f aca="false">AF598&amp;IF(ISERROR(FIND($AD599,AF$591)),"",", "&amp;$AE599)</f>
        <v>, Dexterity, Perception</v>
      </c>
      <c r="AH599" s="281" t="s">
        <v>217</v>
      </c>
      <c r="AI599" s="67" t="s">
        <v>999</v>
      </c>
      <c r="AJ599" s="280" t="str">
        <f aca="false">AJ598&amp;IF(ISERROR(FIND($AH599,AF$591)),"",", "&amp;$AI599)</f>
        <v>, Dexterity, Perception</v>
      </c>
      <c r="CN599" s="32"/>
      <c r="CO599" s="32"/>
    </row>
    <row r="600" customFormat="false" ht="12.75" hidden="false" customHeight="false" outlineLevel="0" collapsed="false">
      <c r="A600" s="285" t="s">
        <v>1000</v>
      </c>
      <c r="B600" s="288" t="n">
        <f aca="false">B597+B598-B599</f>
        <v>8</v>
      </c>
      <c r="C600" s="175" t="n">
        <f aca="false">C597+C598-C599</f>
        <v>6</v>
      </c>
      <c r="D600" s="175" t="n">
        <f aca="false">D597+D598-D599</f>
        <v>5</v>
      </c>
      <c r="E600" s="291"/>
      <c r="G600" s="279" t="s">
        <v>253</v>
      </c>
      <c r="H600" s="64" t="n">
        <f aca="false">Q11</f>
        <v>17</v>
      </c>
      <c r="I600" s="64" t="n">
        <f aca="false">SpecPer</f>
        <v>0</v>
      </c>
      <c r="J600" s="64" t="n">
        <f aca="false">D66</f>
        <v>0</v>
      </c>
      <c r="K600" s="64" t="n">
        <f aca="false">SUM(H600:J600)</f>
        <v>17</v>
      </c>
      <c r="L600" s="64" t="n">
        <f aca="false">INT((K600+5)/3)</f>
        <v>7</v>
      </c>
      <c r="M600" s="64" t="str">
        <f aca="true">OFFSET(ActionDice, L600, 0)</f>
        <v>d12</v>
      </c>
      <c r="N600" s="284" t="str">
        <f aca="false">H600+I600&amp;IF(J600&gt;0, "+"&amp;J600, "")</f>
        <v>17</v>
      </c>
      <c r="P600" s="281" t="s">
        <v>1001</v>
      </c>
      <c r="Q600" s="64" t="n">
        <f aca="false">IF(P600=Discipline1, Circle1, IF(P600=Discipline2, Circle2, 0))</f>
        <v>0</v>
      </c>
      <c r="R600" s="64" t="e">
        <f aca="false">MATCH("Thread Weaving ("&amp;P600&amp;")",D$616:D$713,0)</f>
        <v>#N/A</v>
      </c>
      <c r="S600" s="64" t="e">
        <f aca="true">OFFSET(N$615,R600,0)</f>
        <v>#N/A</v>
      </c>
      <c r="T600" s="64" t="n">
        <f aca="true">IF(ISERROR(R600),0,OFFSET(E$615,R600,0))</f>
        <v>0</v>
      </c>
      <c r="U600" s="64" t="e">
        <f aca="true">OFFSET(I$615,R600,0)</f>
        <v>#N/A</v>
      </c>
      <c r="V600" s="64" t="e">
        <f aca="false">T600&amp;IF(U600&gt;0,"+"&amp;U600,"")</f>
        <v>#N/A</v>
      </c>
      <c r="W600" s="284" t="e">
        <f aca="false">T600+U600+PerStep</f>
        <v>#N/A</v>
      </c>
      <c r="X600" s="277" t="s">
        <v>1002</v>
      </c>
      <c r="Y600" s="284" t="n">
        <f aca="false">WilStep</f>
        <v>5</v>
      </c>
      <c r="Z600" s="42"/>
      <c r="AD600" s="279" t="s">
        <v>1003</v>
      </c>
      <c r="AE600" s="177" t="s">
        <v>1004</v>
      </c>
      <c r="AF600" s="280" t="str">
        <f aca="false">AF599&amp;IF(ISERROR(FIND($AD600,AF$591)),"",", "&amp;$AE600)</f>
        <v>, Dexterity, Perception</v>
      </c>
      <c r="CN600" s="32"/>
      <c r="CO600" s="32"/>
    </row>
    <row r="601" customFormat="false" ht="12.75" hidden="false" customHeight="false" outlineLevel="0" collapsed="false">
      <c r="A601" s="56"/>
      <c r="B601" s="281"/>
      <c r="C601" s="32" t="n">
        <f aca="false">IF(C597=0,0,((C597*$B597)+(C598*$B598)))</f>
        <v>48</v>
      </c>
      <c r="D601" s="32" t="n">
        <f aca="false">IF(D597=0,0,((D597*$B597)+(D598*$B598)))</f>
        <v>40</v>
      </c>
      <c r="E601" s="283"/>
      <c r="G601" s="279" t="s">
        <v>262</v>
      </c>
      <c r="H601" s="64" t="n">
        <f aca="false">Q12</f>
        <v>10</v>
      </c>
      <c r="I601" s="64" t="n">
        <f aca="false">SpecWil</f>
        <v>0</v>
      </c>
      <c r="J601" s="64" t="n">
        <f aca="false">D67</f>
        <v>0</v>
      </c>
      <c r="K601" s="64" t="n">
        <f aca="false">SUM(H601:J601)</f>
        <v>10</v>
      </c>
      <c r="L601" s="64" t="n">
        <f aca="false">INT((K601+5)/3)</f>
        <v>5</v>
      </c>
      <c r="M601" s="64" t="str">
        <f aca="true">OFFSET(ActionDice, L601, 0)</f>
        <v>d8</v>
      </c>
      <c r="N601" s="284" t="str">
        <f aca="false">H601+I601&amp;IF(J601&gt;0, "+"&amp;J601, "")</f>
        <v>10</v>
      </c>
      <c r="P601" s="281" t="s">
        <v>1005</v>
      </c>
      <c r="Q601" s="64" t="n">
        <f aca="false">IF(P601=Discipline1, Circle1, IF(P601=Discipline2, Circle2, 0))</f>
        <v>0</v>
      </c>
      <c r="R601" s="64" t="e">
        <f aca="false">MATCH("Thread Weaving ("&amp;P601&amp;")",D$616:D$713,0)</f>
        <v>#N/A</v>
      </c>
      <c r="S601" s="64" t="e">
        <f aca="true">OFFSET(N$615,R601,0)</f>
        <v>#N/A</v>
      </c>
      <c r="T601" s="64" t="n">
        <f aca="true">IF(ISERROR(R601),0,OFFSET(E$615,R601,0))</f>
        <v>0</v>
      </c>
      <c r="U601" s="64" t="e">
        <f aca="true">OFFSET(I$615,R601,0)</f>
        <v>#N/A</v>
      </c>
      <c r="V601" s="64" t="e">
        <f aca="false">T601&amp;IF(U601&gt;0,"+"&amp;U601,"")</f>
        <v>#N/A</v>
      </c>
      <c r="W601" s="284" t="e">
        <f aca="false">T601+U601+PerStep</f>
        <v>#N/A</v>
      </c>
      <c r="X601" s="277" t="s">
        <v>259</v>
      </c>
      <c r="Y601" s="284" t="n">
        <f aca="false">ChaStep</f>
        <v>6</v>
      </c>
      <c r="Z601" s="42"/>
      <c r="AD601" s="279" t="s">
        <v>1006</v>
      </c>
      <c r="AE601" s="177" t="s">
        <v>1007</v>
      </c>
      <c r="AF601" s="280" t="str">
        <f aca="false">AF600&amp;IF(ISERROR(FIND($AD601,AF$591)),"",", "&amp;$AE601)</f>
        <v>, Dexterity, Perception</v>
      </c>
      <c r="CN601" s="32"/>
      <c r="CO601" s="32"/>
    </row>
    <row r="602" customFormat="false" ht="12.75" hidden="false" customHeight="false" outlineLevel="0" collapsed="false">
      <c r="A602" s="56"/>
      <c r="B602" s="56"/>
      <c r="E602" s="56"/>
      <c r="G602" s="279" t="s">
        <v>259</v>
      </c>
      <c r="H602" s="64" t="n">
        <f aca="false">Q13</f>
        <v>13</v>
      </c>
      <c r="I602" s="64" t="n">
        <f aca="false">SpecCha</f>
        <v>0</v>
      </c>
      <c r="J602" s="64" t="n">
        <f aca="false">D67</f>
        <v>0</v>
      </c>
      <c r="K602" s="64" t="n">
        <f aca="false">SUM(H602:J602)</f>
        <v>13</v>
      </c>
      <c r="L602" s="64" t="n">
        <f aca="false">INT((K602+5)/3)</f>
        <v>6</v>
      </c>
      <c r="M602" s="64" t="str">
        <f aca="true">OFFSET(ActionDice, L602, 0)</f>
        <v>d10</v>
      </c>
      <c r="N602" s="284" t="str">
        <f aca="false">H602+I602&amp;IF(J602&gt;0, "+"&amp;J602, "")</f>
        <v>13</v>
      </c>
      <c r="P602" s="281" t="s">
        <v>1008</v>
      </c>
      <c r="Q602" s="64"/>
      <c r="R602" s="64" t="e">
        <f aca="false">MATCH("Thread Weaving ("&amp;P602&amp;")",D$616:D$713,0)</f>
        <v>#N/A</v>
      </c>
      <c r="S602" s="64" t="e">
        <f aca="true">OFFSET(N$615,R602,0)</f>
        <v>#N/A</v>
      </c>
      <c r="T602" s="64" t="n">
        <f aca="true">IF(ISERROR(R602),0,OFFSET(E$615,R602,0))</f>
        <v>0</v>
      </c>
      <c r="U602" s="64" t="e">
        <f aca="true">OFFSET(I$615,R602,0)</f>
        <v>#N/A</v>
      </c>
      <c r="V602" s="64" t="e">
        <f aca="false">T602&amp;IF(U602&gt;0,"+"&amp;U602,"")</f>
        <v>#N/A</v>
      </c>
      <c r="W602" s="284" t="e">
        <f aca="false">T602+U602+PerStep</f>
        <v>#N/A</v>
      </c>
      <c r="X602" s="277" t="s">
        <v>262</v>
      </c>
      <c r="Y602" s="284" t="n">
        <f aca="false">W604</f>
        <v>5</v>
      </c>
      <c r="Z602" s="42"/>
      <c r="AD602" s="279"/>
      <c r="AE602" s="177"/>
      <c r="AF602" s="280"/>
      <c r="CN602" s="32"/>
      <c r="CO602" s="32"/>
    </row>
    <row r="603" customFormat="false" ht="12.75" hidden="false" customHeight="false" outlineLevel="0" collapsed="false">
      <c r="G603" s="292"/>
      <c r="H603" s="292"/>
      <c r="I603" s="292"/>
      <c r="J603" s="292"/>
      <c r="K603" s="292"/>
      <c r="L603" s="292"/>
      <c r="M603" s="292"/>
      <c r="N603" s="292"/>
      <c r="P603" s="293" t="s">
        <v>1009</v>
      </c>
      <c r="Q603" s="64"/>
      <c r="R603" s="64" t="e">
        <f aca="false">MATCH(P603,D$616:D$713,0)</f>
        <v>#N/A</v>
      </c>
      <c r="S603" s="64" t="e">
        <f aca="true">OFFSET(N$615,R603,0)</f>
        <v>#N/A</v>
      </c>
      <c r="T603" s="64" t="n">
        <f aca="true">IF(ISERROR(R603),0,OFFSET(E$615,R603,0))</f>
        <v>0</v>
      </c>
      <c r="U603" s="64" t="e">
        <f aca="true">VALUE("0" &amp; OFFSET(I$615, R603, 0))</f>
        <v>#N/A</v>
      </c>
      <c r="V603" s="64" t="e">
        <f aca="false">T603&amp;IF(U603&gt;0,"+"&amp;U603,"")</f>
        <v>#N/A</v>
      </c>
      <c r="W603" s="64" t="e">
        <f aca="false">T603+U603+PerStep</f>
        <v>#N/A</v>
      </c>
      <c r="X603" s="294"/>
      <c r="Y603" s="292"/>
      <c r="Z603" s="42"/>
      <c r="AD603" s="279" t="s">
        <v>1010</v>
      </c>
      <c r="AE603" s="177" t="s">
        <v>1011</v>
      </c>
      <c r="AF603" s="280" t="str">
        <f aca="false">AF601&amp;IF(ISERROR(FIND($AD603,AF$591)),"",", "&amp;$AE603)</f>
        <v>, Dexterity, Perception</v>
      </c>
      <c r="CN603" s="32"/>
      <c r="CO603" s="32"/>
    </row>
    <row r="604" customFormat="false" ht="12.75" hidden="false" customHeight="false" outlineLevel="0" collapsed="false">
      <c r="P604" s="293" t="s">
        <v>1012</v>
      </c>
      <c r="Q604" s="64"/>
      <c r="R604" s="64" t="e">
        <f aca="false">MATCH(P604,D$616:D$713,0)</f>
        <v>#N/A</v>
      </c>
      <c r="S604" s="64" t="e">
        <f aca="true">OFFSET(N$615,R604,0)</f>
        <v>#N/A</v>
      </c>
      <c r="T604" s="64" t="n">
        <f aca="true">IF(ISERROR(R604),0,OFFSET(E$615,R604,0))</f>
        <v>0</v>
      </c>
      <c r="U604" s="64" t="e">
        <f aca="true">VALUE("0" &amp; OFFSET(I$615, R604, 0))</f>
        <v>#N/A</v>
      </c>
      <c r="V604" s="64" t="e">
        <f aca="false">T604&amp;IF(U604&gt;0,"+"&amp;U604,"")</f>
        <v>#N/A</v>
      </c>
      <c r="W604" s="284" t="n">
        <f aca="false">T604+(IF(ISERROR(U604),0,U604))+WilStep</f>
        <v>5</v>
      </c>
      <c r="X604" s="42"/>
      <c r="Y604" s="42"/>
      <c r="Z604" s="42"/>
      <c r="AD604" s="279" t="s">
        <v>1013</v>
      </c>
      <c r="AE604" s="177" t="s">
        <v>1014</v>
      </c>
      <c r="AF604" s="280" t="str">
        <f aca="false">AF603&amp;IF(ISERROR(FIND($AD604,AF$591)),"",", "&amp;$AE604)</f>
        <v>, Dexterity, Perception</v>
      </c>
      <c r="AU604" s="295" t="n">
        <f aca="false">MATCH(AZ623,D$616:D$656,0)</f>
        <v>11</v>
      </c>
      <c r="CN604" s="32"/>
      <c r="CO604" s="32"/>
    </row>
    <row r="605" customFormat="false" ht="12.75" hidden="false" customHeight="false" outlineLevel="0" collapsed="false">
      <c r="B605" s="296" t="s">
        <v>1015</v>
      </c>
      <c r="C605" s="54"/>
      <c r="D605" s="116" t="s">
        <v>1016</v>
      </c>
      <c r="E605" s="116" t="s">
        <v>1017</v>
      </c>
      <c r="F605" s="116" t="s">
        <v>1018</v>
      </c>
      <c r="G605" s="116" t="s">
        <v>1019</v>
      </c>
      <c r="H605" s="116" t="s">
        <v>1020</v>
      </c>
      <c r="I605" s="116" t="s">
        <v>1021</v>
      </c>
      <c r="J605" s="116" t="s">
        <v>1022</v>
      </c>
      <c r="K605" s="116" t="s">
        <v>1023</v>
      </c>
      <c r="L605" s="116" t="s">
        <v>1024</v>
      </c>
      <c r="M605" s="116" t="s">
        <v>957</v>
      </c>
      <c r="N605" s="282" t="s">
        <v>1025</v>
      </c>
      <c r="P605" s="247"/>
      <c r="Q605" s="247"/>
      <c r="R605" s="247"/>
      <c r="S605" s="247"/>
      <c r="T605" s="247"/>
      <c r="U605" s="247"/>
      <c r="V605" s="247"/>
      <c r="AD605" s="279" t="s">
        <v>1026</v>
      </c>
      <c r="AE605" s="177" t="s">
        <v>1027</v>
      </c>
      <c r="AF605" s="280" t="str">
        <f aca="false">AF604&amp;IF(ISERROR(FIND($AD605,AF$591)),"",", "&amp;$AE605)</f>
        <v>, Dexterity, Perception</v>
      </c>
      <c r="AU605" s="295"/>
      <c r="CN605" s="32"/>
      <c r="CO605" s="32"/>
    </row>
    <row r="606" customFormat="false" ht="12.75" hidden="false" customHeight="false" outlineLevel="0" collapsed="false">
      <c r="B606" s="281" t="s">
        <v>230</v>
      </c>
      <c r="C606" s="64"/>
      <c r="D606" s="64" t="n">
        <f aca="true">OFFSET(AttribDef,Dexterity,0)</f>
        <v>9</v>
      </c>
      <c r="E606" s="64" t="n">
        <f aca="true">OFFSET(AttribDef,Perception,0)</f>
        <v>9</v>
      </c>
      <c r="F606" s="64" t="n">
        <f aca="true">OFFSET(AttribDef,Charisma,0)</f>
        <v>7</v>
      </c>
      <c r="G606" s="64" t="n">
        <f aca="false">DexStep</f>
        <v>7</v>
      </c>
      <c r="H606" s="64" t="n">
        <f aca="true">OFFSET(AttribRecTests,Toughness,0)</f>
        <v>3</v>
      </c>
      <c r="I606" s="64" t="n">
        <f aca="false">TouStep</f>
        <v>6</v>
      </c>
      <c r="J606" s="64" t="n">
        <f aca="true">OFFSET(AttribWoundThr,Toughness,0)</f>
        <v>10</v>
      </c>
      <c r="K606" s="64" t="n">
        <f aca="true">IF(R617,OFFSET(F189,R617,0),0)+IF(R618,OFFSET(F189,R618,0),0)+IF(R619,OFFSET(F189,R619,0),0)+IF(R620,OFFSET(F189,R620,0),0)+IF(R621,OFFSET(F189,R621,0),0)</f>
        <v>12</v>
      </c>
      <c r="L606" s="64" t="n">
        <f aca="true">OFFSET(AttribMysArm,Willpower,0)+IF(R617,OFFSET(G189,R617,0),0)+IF(R618,OFFSET(G189,R618,0),0)+IF(R619,OFFSET(G189,R619,0),0)+IF(R620,OFFSET(G189,R620,0),0)+IF(R621,OFFSET(G189,R621,0),0)</f>
        <v>0</v>
      </c>
      <c r="M606" s="64" t="n">
        <f aca="false">Dexterity</f>
        <v>16</v>
      </c>
      <c r="N606" s="284" t="n">
        <v>4</v>
      </c>
      <c r="Q606" s="297" t="s">
        <v>1028</v>
      </c>
      <c r="R606" s="298" t="str">
        <f aca="true">OFFSET(Numberth,Circle1, 0)&amp;" Circle "&amp;Discipline1</f>
        <v>Seventh Circle Scout_Infiltrator</v>
      </c>
      <c r="AD606" s="279" t="s">
        <v>1029</v>
      </c>
      <c r="AE606" s="177" t="s">
        <v>1030</v>
      </c>
      <c r="AF606" s="280" t="str">
        <f aca="false">AF605&amp;IF(ISERROR(FIND($AD606,AF$591)),"",", "&amp;$AE606)</f>
        <v>, Dexterity, Perception</v>
      </c>
      <c r="AU606" s="295" t="e">
        <f aca="false">IF(MATCH(AZ622,D$657:D$697,0),1,2)</f>
        <v>#N/A</v>
      </c>
      <c r="CN606" s="32"/>
      <c r="CO606" s="32"/>
    </row>
    <row r="607" customFormat="false" ht="12.75" hidden="false" customHeight="false" outlineLevel="0" collapsed="false">
      <c r="A607" s="56"/>
      <c r="B607" s="281" t="s">
        <v>167</v>
      </c>
      <c r="C607" s="64"/>
      <c r="D607" s="64" t="n">
        <f aca="false">IF(Race=Windling,2,0)</f>
        <v>0</v>
      </c>
      <c r="E607" s="64"/>
      <c r="F607" s="64"/>
      <c r="G607" s="64"/>
      <c r="H607" s="64"/>
      <c r="I607" s="64"/>
      <c r="J607" s="64" t="n">
        <f aca="false">IF(Race=Obsidiman,3,0)</f>
        <v>0</v>
      </c>
      <c r="K607" s="64" t="n">
        <f aca="false">IF(Race=Obsidiman,3,0)</f>
        <v>0</v>
      </c>
      <c r="L607" s="64"/>
      <c r="M607" s="64" t="n">
        <f aca="false">RaceMove</f>
        <v>6</v>
      </c>
      <c r="N607" s="284" t="str">
        <f aca="false">RaceKarmaMax</f>
        <v>Karma Ritual Rank x 5</v>
      </c>
      <c r="P607" s="296" t="s">
        <v>1031</v>
      </c>
      <c r="Q607" s="54"/>
      <c r="R607" s="284" t="n">
        <f aca="true">OFFSET(Cost_1_4,E17,0)+OFFSET(Cost_1_4,E18,0)+OFFSET(Cost_1_4,E19,0)+OFFSET(Cost_1_4,E20,0)+OFFSET(Cost_1_4,E21,0)+OFFSET(Cost_1_4,E22,0)+OFFSET(Cost_1_4,E23,0)</f>
        <v>1100</v>
      </c>
      <c r="AD607" s="279" t="s">
        <v>1032</v>
      </c>
      <c r="AE607" s="177" t="s">
        <v>1033</v>
      </c>
      <c r="AF607" s="280" t="str">
        <f aca="false">AF606&amp;IF(ISERROR(FIND($AD607,AF$591)),"",", "&amp;$AE607)</f>
        <v>, Dexterity, Perception</v>
      </c>
      <c r="AU607" s="295"/>
      <c r="CN607" s="32"/>
      <c r="CO607" s="32"/>
    </row>
    <row r="608" customFormat="false" ht="12.75" hidden="false" customHeight="false" outlineLevel="0" collapsed="false">
      <c r="B608" s="281" t="s">
        <v>958</v>
      </c>
      <c r="C608" s="64"/>
      <c r="D608" s="64" t="n">
        <f aca="false">SpecPD</f>
        <v>8</v>
      </c>
      <c r="E608" s="64" t="n">
        <f aca="false">SpecSD</f>
        <v>0</v>
      </c>
      <c r="F608" s="64" t="n">
        <f aca="false">SpecSOD</f>
        <v>0</v>
      </c>
      <c r="G608" s="64" t="n">
        <f aca="false">SpecInit</f>
        <v>0</v>
      </c>
      <c r="H608" s="64" t="n">
        <f aca="false">SpecRecTests</f>
        <v>0</v>
      </c>
      <c r="I608" s="64" t="n">
        <f aca="false">SpecRecStep</f>
        <v>0</v>
      </c>
      <c r="J608" s="64" t="n">
        <f aca="false">SpecWoundThr</f>
        <v>0</v>
      </c>
      <c r="K608" s="64" t="n">
        <f aca="false">SpecPhysArm</f>
        <v>0</v>
      </c>
      <c r="L608" s="64" t="n">
        <f aca="false">SpecMysArm</f>
        <v>0</v>
      </c>
      <c r="M608" s="64" t="n">
        <f aca="false">SpecMove</f>
        <v>0</v>
      </c>
      <c r="N608" s="284" t="n">
        <f aca="false">SpecMaxKarma</f>
        <v>0</v>
      </c>
      <c r="Q608" s="299" t="s">
        <v>155</v>
      </c>
      <c r="R608" s="284" t="n">
        <f aca="true">IF(Discipline2=" ","",IF(V11&gt;5,200,OFFSET(Scnd_Disc_Cost,V11,0)))</f>
        <v>200</v>
      </c>
      <c r="AD608" s="279" t="s">
        <v>219</v>
      </c>
      <c r="AE608" s="177" t="s">
        <v>1034</v>
      </c>
      <c r="AF608" s="280" t="str">
        <f aca="false">AF607&amp;IF(ISERROR(FIND($AD608,AF$591)),"",", "&amp;$AE608)</f>
        <v>, Dexterity, Perception</v>
      </c>
      <c r="AU608" s="295" t="e">
        <f aca="false">MATCH(AZ629,D$616:D$656,0)</f>
        <v>#N/A</v>
      </c>
      <c r="CN608" s="32"/>
      <c r="CO608" s="32"/>
    </row>
    <row r="609" customFormat="false" ht="12.75" hidden="false" customHeight="false" outlineLevel="0" collapsed="false">
      <c r="B609" s="281" t="s">
        <v>1035</v>
      </c>
      <c r="C609" s="64"/>
      <c r="D609" s="64" t="n">
        <f aca="false">RankPD</f>
        <v>0</v>
      </c>
      <c r="E609" s="64" t="n">
        <f aca="false">RankSD</f>
        <v>0</v>
      </c>
      <c r="F609" s="64" t="n">
        <f aca="false">RankSOD</f>
        <v>0</v>
      </c>
      <c r="G609" s="64" t="n">
        <f aca="false">RankINIT</f>
        <v>0</v>
      </c>
      <c r="H609" s="64"/>
      <c r="I609" s="64" t="n">
        <f aca="false">RankRecStep</f>
        <v>0</v>
      </c>
      <c r="J609" s="64" t="n">
        <f aca="false">RankWoundThr</f>
        <v>0</v>
      </c>
      <c r="K609" s="64"/>
      <c r="L609" s="64" t="n">
        <f aca="false">RankMysArm</f>
        <v>0</v>
      </c>
      <c r="M609" s="64"/>
      <c r="N609" s="284"/>
      <c r="Q609" s="297" t="s">
        <v>1036</v>
      </c>
      <c r="R609" s="298" t="str">
        <f aca="true">IF(_Dic2, OFFSET(Numberth, MAX(1, Circle2), 0) &amp; " Circle " &amp; Discipline2, " ")</f>
        <v>First Circle Thief</v>
      </c>
      <c r="AD609" s="279" t="s">
        <v>1037</v>
      </c>
      <c r="AE609" s="177" t="s">
        <v>1038</v>
      </c>
      <c r="AF609" s="280" t="str">
        <f aca="false">AF608&amp;IF(ISERROR(FIND($AD609,AF$591)),"",", "&amp;$AE609)</f>
        <v>, Dexterity, Perception</v>
      </c>
      <c r="BJ609" s="32" t="str">
        <f aca="true">IF(Build!BQ627,OFFSET(Build!BJ$616,Build!BQ627,0)," ")</f>
        <v>Absorb Blow</v>
      </c>
      <c r="CN609" s="32"/>
      <c r="CO609" s="32"/>
    </row>
    <row r="610" customFormat="false" ht="12.75" hidden="false" customHeight="false" outlineLevel="0" collapsed="false">
      <c r="B610" s="281" t="str">
        <f aca="false">Discipline1</f>
        <v>Scout_Infiltrator</v>
      </c>
      <c r="C610" s="64" t="str">
        <f aca="false">HLOOKUP(Discipline1,Disciplines!C53:BB68,Circle1+1,0)</f>
        <v>10000PD</v>
      </c>
      <c r="D610" s="64" t="n">
        <f aca="false">VALUE(LEFT(C610,1))</f>
        <v>1</v>
      </c>
      <c r="E610" s="64" t="n">
        <f aca="false">VALUE(MID(C610,2,1))</f>
        <v>0</v>
      </c>
      <c r="F610" s="64" t="n">
        <f aca="false">VALUE(MID(C610,3,1))</f>
        <v>0</v>
      </c>
      <c r="G610" s="64" t="n">
        <f aca="false">VALUE(MID(C610,4,1))</f>
        <v>0</v>
      </c>
      <c r="H610" s="64" t="n">
        <f aca="false">VALUE(MID(C610,5,1))</f>
        <v>0</v>
      </c>
      <c r="I610" s="64"/>
      <c r="J610" s="64"/>
      <c r="K610" s="64"/>
      <c r="L610" s="64"/>
      <c r="M610" s="64"/>
      <c r="N610" s="284" t="n">
        <f aca="false">IF(Circle1&gt;=HLOOKUP(Discipline1,Improvements,17),25,0)</f>
        <v>0</v>
      </c>
      <c r="AD610" s="300" t="s">
        <v>1039</v>
      </c>
      <c r="AE610" s="301" t="s">
        <v>1040</v>
      </c>
      <c r="AF610" s="302" t="str">
        <f aca="false">AF609&amp;IF(ISERROR(FIND($AD610,AF$591)),"",", "&amp;$AE610)</f>
        <v>, Dexterity, Perception</v>
      </c>
      <c r="CN610" s="32"/>
      <c r="CO610" s="32"/>
    </row>
    <row r="611" customFormat="false" ht="12.75" hidden="false" customHeight="false" outlineLevel="0" collapsed="false">
      <c r="B611" s="281" t="str">
        <f aca="false">Discipline2</f>
        <v>Thief</v>
      </c>
      <c r="C611" s="64" t="str">
        <f aca="false">IF(_Dic2,HLOOKUP(Discipline2,Disciplines!C53:BB68, Circle2+1, 0),"00000")</f>
        <v>Thief</v>
      </c>
      <c r="D611" s="64" t="e">
        <f aca="false">VALUE(LEFT(C611,1))</f>
        <v>#VALUE!</v>
      </c>
      <c r="E611" s="64" t="e">
        <f aca="false">VALUE(MID(C611,2,1))</f>
        <v>#VALUE!</v>
      </c>
      <c r="F611" s="64" t="e">
        <f aca="false">VALUE(MID(C611,3,1))</f>
        <v>#VALUE!</v>
      </c>
      <c r="G611" s="64" t="e">
        <f aca="false">VALUE(MID(C611,4,1))</f>
        <v>#VALUE!</v>
      </c>
      <c r="H611" s="64" t="e">
        <f aca="false">VALUE(MID(C611,5,1))</f>
        <v>#VALUE!</v>
      </c>
      <c r="I611" s="64"/>
      <c r="J611" s="64"/>
      <c r="K611" s="64"/>
      <c r="L611" s="64"/>
      <c r="M611" s="64"/>
      <c r="N611" s="284" t="n">
        <f aca="false">IF(_Dic2,IF(Circle2&gt;=HLOOKUP(Discipline2,Improvements,17),25,0),0)</f>
        <v>0</v>
      </c>
      <c r="AD611" s="297" t="s">
        <v>1041</v>
      </c>
      <c r="AE611" s="177" t="str">
        <f aca="false">IF(Circle1&gt;=HLOOKUP(Discipline1,Improvements,18),HLOOKUP(Discipline1,Improvements,19)&amp;IF(Circle1&gt;=HLOOKUP(Discipline1,Improvements,20),", "&amp;HLOOKUP(Discipline1,Improvements,21)&amp;IF(Circle1&gt;=HLOOKUP(Discipline1,Improvements,22),", "&amp;HLOOKUP(Discipline1,Improvements,23)&amp;IF(Circle1&gt;=HLOOKUP(Discipline1,Improvements,24),", "&amp;HLOOKUP(Discipline1,Improvements,25),""),""),""),"")</f>
        <v>Enhance Senses, Special Karma Spend Ability</v>
      </c>
      <c r="AF611" s="280"/>
      <c r="CN611" s="32"/>
      <c r="CO611" s="32"/>
    </row>
    <row r="612" customFormat="false" ht="12.75" hidden="false" customHeight="false" outlineLevel="0" collapsed="false">
      <c r="B612" s="281" t="s">
        <v>1042</v>
      </c>
      <c r="C612" s="67"/>
      <c r="D612" s="64" t="e">
        <f aca="false">SUM(D606:D609)+MAX(D610:D611)</f>
        <v>#VALUE!</v>
      </c>
      <c r="E612" s="64" t="e">
        <f aca="false">SUM(E606:E609)+MAX(E610:E611)</f>
        <v>#VALUE!</v>
      </c>
      <c r="F612" s="64" t="e">
        <f aca="false">SUM(F606:F609)+MAX(F610:F611)</f>
        <v>#VALUE!</v>
      </c>
      <c r="G612" s="64" t="e">
        <f aca="false">SUM(G606:G609)+MAX(G610:G611)</f>
        <v>#VALUE!</v>
      </c>
      <c r="H612" s="64" t="e">
        <f aca="false">SUM(H606:H609)+MAX(H610:H611)</f>
        <v>#VALUE!</v>
      </c>
      <c r="I612" s="64" t="n">
        <f aca="false">SUM(I606:I609)</f>
        <v>6</v>
      </c>
      <c r="J612" s="64" t="n">
        <f aca="false">SUM(J606:J609)</f>
        <v>10</v>
      </c>
      <c r="K612" s="64" t="n">
        <f aca="false">SUM(K606:K609)</f>
        <v>12</v>
      </c>
      <c r="L612" s="64" t="n">
        <f aca="false">SUM(L606:L609)</f>
        <v>0</v>
      </c>
      <c r="M612" s="64" t="n">
        <f aca="false">SUM(M606:M609)</f>
        <v>22</v>
      </c>
      <c r="N612" s="284" t="n">
        <f aca="false">SUM(N606:N611)</f>
        <v>4</v>
      </c>
      <c r="O612" s="61" t="str">
        <f aca="false">VLOOKUP(KarmaMax,StepDice,2,0)</f>
        <v>d6</v>
      </c>
      <c r="AD612" s="297" t="s">
        <v>1043</v>
      </c>
      <c r="AE612" s="177" t="str">
        <f aca="false">IF(_Dic2,IF(Circle2&gt;=HLOOKUP(Discipline2,Improvements,18),IF(AE611&lt;&gt;"",", ","")&amp;HLOOKUP(Discipline2,Improvements,19)&amp;IF(Circle2&gt;=HLOOKUP(Discipline2,Improvements,20),", "&amp;HLOOKUP(Discipline2,Improvements,21)&amp;IF(Circle2&gt;=HLOOKUP(Discipline2,Improvements,22),", "&amp;HLOOKUP(Discipline2,Improvements,23)&amp;IF(Circle2&gt;=HLOOKUP(Discipline2,Improvements,24),", "&amp;HLOOKUP(Discipline2,Improvements,25),""),""),""),""),"")</f>
        <v/>
      </c>
      <c r="AF612" s="280"/>
      <c r="CN612" s="32"/>
      <c r="CO612" s="32"/>
    </row>
    <row r="613" customFormat="false" ht="12.75" hidden="false" customHeight="false" outlineLevel="0" collapsed="false">
      <c r="B613" s="56"/>
      <c r="C613" s="42"/>
      <c r="H613" s="42"/>
      <c r="I613" s="42"/>
      <c r="J613" s="42"/>
      <c r="K613" s="42"/>
      <c r="L613" s="42"/>
      <c r="M613" s="42"/>
      <c r="N613" s="42"/>
      <c r="O613" s="61"/>
      <c r="AD613" s="297" t="s">
        <v>590</v>
      </c>
      <c r="AE613" s="177" t="str">
        <f aca="false">IF(AE611&amp;AE612="","",". ")&amp;IF(AJ599="","","Use Karma on "&amp;MID(AJ599,2,200)&amp;".")</f>
        <v>. Use Karma on  Dexterity, Perception.</v>
      </c>
      <c r="AF613" s="280"/>
      <c r="CD613" s="56"/>
      <c r="CE613" s="56"/>
      <c r="CF613" s="56"/>
      <c r="CG613" s="56"/>
      <c r="CH613" s="56"/>
      <c r="CI613" s="56"/>
      <c r="CJ613" s="210"/>
      <c r="CN613" s="32"/>
      <c r="CO613" s="32"/>
    </row>
    <row r="614" customFormat="false" ht="12.75" hidden="false" customHeight="false" outlineLevel="0" collapsed="false">
      <c r="O614" s="42"/>
      <c r="AD614" s="303"/>
      <c r="AE614" s="304"/>
      <c r="AF614" s="304"/>
      <c r="CD614" s="56"/>
      <c r="CE614" s="56"/>
      <c r="CF614" s="56"/>
      <c r="CG614" s="56"/>
      <c r="CH614" s="56"/>
      <c r="CI614" s="56"/>
      <c r="CJ614" s="210"/>
      <c r="CN614" s="32"/>
      <c r="CO614" s="32"/>
    </row>
    <row r="615" customFormat="false" ht="12.75" hidden="false" customHeight="false" outlineLevel="0" collapsed="false">
      <c r="B615" s="277" t="s">
        <v>981</v>
      </c>
      <c r="C615" s="116" t="s">
        <v>1044</v>
      </c>
      <c r="D615" s="116" t="s">
        <v>980</v>
      </c>
      <c r="E615" s="116" t="s">
        <v>196</v>
      </c>
      <c r="F615" s="116" t="s">
        <v>155</v>
      </c>
      <c r="G615" s="116" t="s">
        <v>982</v>
      </c>
      <c r="H615" s="116" t="s">
        <v>248</v>
      </c>
      <c r="I615" s="116" t="s">
        <v>197</v>
      </c>
      <c r="J615" s="116" t="s">
        <v>341</v>
      </c>
      <c r="K615" s="116" t="s">
        <v>979</v>
      </c>
      <c r="L615" s="116" t="s">
        <v>1045</v>
      </c>
      <c r="M615" s="116" t="s">
        <v>1046</v>
      </c>
      <c r="N615" s="116" t="s">
        <v>980</v>
      </c>
      <c r="O615" s="305" t="s">
        <v>1047</v>
      </c>
      <c r="P615" s="306" t="n">
        <f aca="false">MAX(O617:O714)</f>
        <v>24</v>
      </c>
      <c r="Q615" s="305" t="s">
        <v>1048</v>
      </c>
      <c r="R615" s="306" t="n">
        <f aca="false">MAX(Q617:Q660)</f>
        <v>2</v>
      </c>
      <c r="S615" s="305" t="s">
        <v>1049</v>
      </c>
      <c r="T615" s="306" t="n">
        <f aca="false">MAX(S617:S688)</f>
        <v>3</v>
      </c>
      <c r="U615" s="307" t="n">
        <f aca="false">MAX(U617:U746)</f>
        <v>0</v>
      </c>
      <c r="V615" s="308" t="n">
        <f aca="false">MAX(V617:V746)</f>
        <v>0</v>
      </c>
      <c r="W615" s="308" t="n">
        <f aca="false">MAX(W617:W746)</f>
        <v>0</v>
      </c>
      <c r="X615" s="308" t="n">
        <f aca="false">MAX(X617:X746)</f>
        <v>0</v>
      </c>
      <c r="Y615" s="308" t="n">
        <f aca="false">MAX(Y617:Y746)</f>
        <v>0</v>
      </c>
      <c r="Z615" s="308" t="n">
        <f aca="false">MAX(Z617:Z746)</f>
        <v>0</v>
      </c>
      <c r="AA615" s="309" t="s">
        <v>1050</v>
      </c>
      <c r="AB615" s="309"/>
      <c r="AC615" s="309"/>
      <c r="AD615" s="309"/>
      <c r="AE615" s="309"/>
      <c r="AF615" s="309"/>
      <c r="AG615" s="308" t="s">
        <v>1051</v>
      </c>
      <c r="AH615" s="308"/>
      <c r="AI615" s="308"/>
      <c r="AJ615" s="308"/>
      <c r="AK615" s="308"/>
      <c r="AL615" s="308"/>
      <c r="AM615" s="305"/>
      <c r="AN615" s="83"/>
      <c r="AO615" s="308" t="n">
        <f aca="false">SUM(AO617:AO656)</f>
        <v>5000</v>
      </c>
      <c r="AP615" s="310" t="s">
        <v>1052</v>
      </c>
      <c r="AQ615" s="306" t="n">
        <f aca="false">MAX(AP617:AP739)</f>
        <v>5</v>
      </c>
      <c r="AR615" s="311"/>
      <c r="AS615" s="83"/>
      <c r="AT615" s="83" t="n">
        <f aca="false">SUM(AT617:AT755)</f>
        <v>2500</v>
      </c>
      <c r="AU615" s="83"/>
      <c r="AV615" s="310" t="s">
        <v>1053</v>
      </c>
      <c r="AW615" s="74" t="n">
        <f aca="false">MAX(AV617:AV755)</f>
        <v>19</v>
      </c>
      <c r="AX615" s="311"/>
      <c r="AY615" s="83"/>
      <c r="AZ615" s="83"/>
      <c r="BA615" s="308"/>
      <c r="BB615" s="83"/>
      <c r="BC615" s="83"/>
      <c r="BD615" s="83"/>
      <c r="BE615" s="310" t="s">
        <v>1054</v>
      </c>
      <c r="BF615" s="74" t="n">
        <f aca="false">MAX(BE617:BE681)</f>
        <v>21</v>
      </c>
      <c r="BG615" s="310" t="s">
        <v>1055</v>
      </c>
      <c r="BH615" s="74" t="n">
        <f aca="false">MAX(BG617:BG641)</f>
        <v>2</v>
      </c>
      <c r="BI615" s="312" t="n">
        <f aca="false">IF(ISERROR(SUM(BI617:BI641)),0,SUM(BI617:BI641))</f>
        <v>1000</v>
      </c>
      <c r="BJ615" s="83"/>
      <c r="BK615" s="83"/>
      <c r="BL615" s="310"/>
      <c r="BM615" s="310"/>
      <c r="BN615" s="310"/>
      <c r="BO615" s="306"/>
      <c r="BP615" s="74"/>
      <c r="BQ615" s="74"/>
      <c r="BR615" s="311"/>
      <c r="BS615" s="83"/>
      <c r="BT615" s="83"/>
      <c r="BU615" s="310" t="s">
        <v>1056</v>
      </c>
      <c r="BV615" s="308" t="n">
        <f aca="false">MAX(BU617:BU628)</f>
        <v>0</v>
      </c>
      <c r="BW615" s="83"/>
      <c r="BX615" s="313"/>
      <c r="BY615" s="311"/>
      <c r="BZ615" s="83"/>
      <c r="CA615" s="83"/>
      <c r="CB615" s="83"/>
      <c r="CC615" s="83"/>
      <c r="CD615" s="83"/>
      <c r="CE615" s="83"/>
      <c r="CF615" s="83"/>
      <c r="CG615" s="83" t="s">
        <v>1057</v>
      </c>
      <c r="CH615" s="312" t="n">
        <f aca="false">CG839</f>
        <v>25</v>
      </c>
      <c r="CI615" s="314"/>
      <c r="CJ615" s="314"/>
      <c r="CK615" s="314"/>
      <c r="CL615" s="314"/>
      <c r="CM615" s="314"/>
      <c r="CN615" s="314"/>
      <c r="CO615" s="315"/>
    </row>
    <row r="616" customFormat="false" ht="12.75" hidden="false" customHeight="false" outlineLevel="0" collapsed="false">
      <c r="B616" s="279" t="n">
        <v>1</v>
      </c>
      <c r="C616" s="67" t="str">
        <f aca="false">IF(Circle1&gt;=$B616,HLOOKUP(Discipline1,talentfordisc,1+BY617,0)," ")</f>
        <v>Climbing (D)</v>
      </c>
      <c r="D616" s="67" t="str">
        <f aca="false">IF(RIGHT(C616, 3)="(D)",LEFT(C616,LEN(C616)-4),C616)</f>
        <v>Climbing</v>
      </c>
      <c r="E616" s="64" t="n">
        <f aca="false">F17</f>
        <v>5</v>
      </c>
      <c r="F616" s="182" t="n">
        <f aca="true">OFFSET(Cost_1_4,E616,0)</f>
        <v>1900</v>
      </c>
      <c r="G616" s="64" t="n">
        <f aca="false">IF(C616&lt;&gt;" ",MATCH(D616,Talents!B$3:B$345,1),0)</f>
        <v>59</v>
      </c>
      <c r="H616" s="64" t="str">
        <f aca="true">IF(G616=0," ",OFFSET(Talents!C$2,G616,0))</f>
        <v>D</v>
      </c>
      <c r="I616" s="64" t="n">
        <f aca="false">IF(E616&gt;0,G17,0)</f>
        <v>0</v>
      </c>
      <c r="J616" s="64" t="n">
        <f aca="false">IF(H616&lt;&gt;" ",E616+VLOOKUP(H616,G$597:L$603,6,0)+I616," ")</f>
        <v>12</v>
      </c>
      <c r="K616" s="64" t="str">
        <f aca="true">IF(J616&lt;&gt;" ",OFFSET(ActionDice,J616,0),"-")</f>
        <v>2d10</v>
      </c>
      <c r="L616" s="67" t="n">
        <f aca="false">OR(RIGHT(C616, 3)="(D)", NOT(ISERROR(MATCH(D616&amp;" (D)", C$657:C$697, 0))))</f>
        <v>1</v>
      </c>
      <c r="M616" s="64" t="str">
        <f aca="true">IF(G616&gt;0,IF(L616,"D",OFFSET(Talents!D$2,G616,0))&amp;OFFSET(Talents!E$2,G616,0)," ")</f>
        <v>D/A/-</v>
      </c>
      <c r="N616" s="64" t="n">
        <f aca="false">AND(I17="",C616&lt;&gt;" ")</f>
        <v>1</v>
      </c>
      <c r="O616" s="316" t="s">
        <v>1058</v>
      </c>
      <c r="P616" s="317" t="s">
        <v>980</v>
      </c>
      <c r="Q616" s="316" t="s">
        <v>1058</v>
      </c>
      <c r="R616" s="317" t="s">
        <v>980</v>
      </c>
      <c r="S616" s="316" t="s">
        <v>1058</v>
      </c>
      <c r="T616" s="317" t="s">
        <v>980</v>
      </c>
      <c r="U616" s="318" t="s">
        <v>1059</v>
      </c>
      <c r="V616" s="319" t="s">
        <v>1060</v>
      </c>
      <c r="W616" s="319" t="s">
        <v>1061</v>
      </c>
      <c r="X616" s="319" t="s">
        <v>1062</v>
      </c>
      <c r="Y616" s="320" t="s">
        <v>1005</v>
      </c>
      <c r="Z616" s="321" t="s">
        <v>1063</v>
      </c>
      <c r="AA616" s="316" t="s">
        <v>1059</v>
      </c>
      <c r="AB616" s="320" t="s">
        <v>1060</v>
      </c>
      <c r="AC616" s="320" t="s">
        <v>1061</v>
      </c>
      <c r="AD616" s="320" t="s">
        <v>1062</v>
      </c>
      <c r="AE616" s="320" t="s">
        <v>1005</v>
      </c>
      <c r="AF616" s="321" t="s">
        <v>1063</v>
      </c>
      <c r="AG616" s="319" t="s">
        <v>1059</v>
      </c>
      <c r="AH616" s="319" t="s">
        <v>1060</v>
      </c>
      <c r="AI616" s="319" t="s">
        <v>1061</v>
      </c>
      <c r="AJ616" s="319" t="s">
        <v>1062</v>
      </c>
      <c r="AK616" s="319" t="s">
        <v>1005</v>
      </c>
      <c r="AL616" s="321" t="s">
        <v>1063</v>
      </c>
      <c r="AM616" s="318" t="s">
        <v>1064</v>
      </c>
      <c r="AN616" s="319" t="s">
        <v>196</v>
      </c>
      <c r="AO616" s="320" t="s">
        <v>155</v>
      </c>
      <c r="AP616" s="319" t="s">
        <v>1058</v>
      </c>
      <c r="AQ616" s="321" t="s">
        <v>980</v>
      </c>
      <c r="AR616" s="322" t="s">
        <v>1065</v>
      </c>
      <c r="AS616" s="319" t="s">
        <v>196</v>
      </c>
      <c r="AT616" s="319" t="s">
        <v>155</v>
      </c>
      <c r="AU616" s="319" t="s">
        <v>1066</v>
      </c>
      <c r="AV616" s="319" t="s">
        <v>1058</v>
      </c>
      <c r="AW616" s="319" t="s">
        <v>980</v>
      </c>
      <c r="AX616" s="316" t="s">
        <v>1067</v>
      </c>
      <c r="AY616" s="320" t="s">
        <v>982</v>
      </c>
      <c r="AZ616" s="319" t="s">
        <v>1044</v>
      </c>
      <c r="BA616" s="320" t="s">
        <v>1068</v>
      </c>
      <c r="BB616" s="320" t="s">
        <v>1069</v>
      </c>
      <c r="BC616" s="320" t="s">
        <v>155</v>
      </c>
      <c r="BD616" s="319" t="s">
        <v>196</v>
      </c>
      <c r="BE616" s="320" t="s">
        <v>1058</v>
      </c>
      <c r="BF616" s="320" t="s">
        <v>1070</v>
      </c>
      <c r="BG616" s="319" t="s">
        <v>1058</v>
      </c>
      <c r="BH616" s="319" t="s">
        <v>980</v>
      </c>
      <c r="BI616" s="321" t="s">
        <v>159</v>
      </c>
      <c r="BJ616" s="320" t="s">
        <v>1071</v>
      </c>
      <c r="BK616" s="320" t="s">
        <v>336</v>
      </c>
      <c r="BL616" s="320" t="s">
        <v>1072</v>
      </c>
      <c r="BM616" s="320" t="s">
        <v>500</v>
      </c>
      <c r="BN616" s="320" t="s">
        <v>1073</v>
      </c>
      <c r="BO616" s="317" t="s">
        <v>1074</v>
      </c>
      <c r="BP616" s="320" t="s">
        <v>1075</v>
      </c>
      <c r="BQ616" s="320" t="s">
        <v>1076</v>
      </c>
      <c r="BR616" s="318" t="s">
        <v>1077</v>
      </c>
      <c r="BS616" s="319" t="s">
        <v>982</v>
      </c>
      <c r="BT616" s="319" t="s">
        <v>196</v>
      </c>
      <c r="BU616" s="319" t="s">
        <v>1058</v>
      </c>
      <c r="BV616" s="319" t="s">
        <v>980</v>
      </c>
      <c r="BW616" s="319"/>
      <c r="BX616" s="321" t="s">
        <v>983</v>
      </c>
      <c r="BY616" s="316" t="s">
        <v>982</v>
      </c>
      <c r="BZ616" s="320" t="s">
        <v>1078</v>
      </c>
      <c r="CA616" s="320" t="s">
        <v>660</v>
      </c>
      <c r="CB616" s="320" t="s">
        <v>155</v>
      </c>
      <c r="CC616" s="320" t="s">
        <v>496</v>
      </c>
      <c r="CD616" s="320" t="s">
        <v>1079</v>
      </c>
      <c r="CE616" s="323" t="s">
        <v>1080</v>
      </c>
      <c r="CF616" s="319" t="s">
        <v>181</v>
      </c>
      <c r="CG616" s="320" t="s">
        <v>335</v>
      </c>
      <c r="CH616" s="321" t="s">
        <v>980</v>
      </c>
      <c r="CI616" s="320" t="s">
        <v>1081</v>
      </c>
      <c r="CJ616" s="320" t="s">
        <v>1082</v>
      </c>
      <c r="CK616" s="320" t="s">
        <v>1083</v>
      </c>
      <c r="CL616" s="320" t="s">
        <v>1084</v>
      </c>
      <c r="CM616" s="320" t="s">
        <v>1085</v>
      </c>
      <c r="CN616" s="320" t="s">
        <v>1086</v>
      </c>
      <c r="CO616" s="317" t="s">
        <v>1087</v>
      </c>
    </row>
    <row r="617" customFormat="false" ht="12.75" hidden="false" customHeight="false" outlineLevel="0" collapsed="false">
      <c r="B617" s="279" t="n">
        <v>1</v>
      </c>
      <c r="C617" s="67" t="str">
        <f aca="false">IF(Circle1&gt;=$B617,HLOOKUP(Discipline1,talentfordisc,1+BY618,0)," ")</f>
        <v>Karma Ritual</v>
      </c>
      <c r="D617" s="67" t="str">
        <f aca="false">IF(RIGHT(C617, 3)="(D)",LEFT(C617,LEN(C617)-4),C617)</f>
        <v>Karma Ritual</v>
      </c>
      <c r="E617" s="64" t="n">
        <f aca="false">F18</f>
        <v>7</v>
      </c>
      <c r="F617" s="182" t="n">
        <f aca="true">OFFSET(Cost_1_4,E617,0)</f>
        <v>5300</v>
      </c>
      <c r="G617" s="64" t="n">
        <f aca="false">IF(C617&lt;&gt;" ",MATCH(D617,Talents!B$3:B$345,1),0)</f>
        <v>157</v>
      </c>
      <c r="H617" s="64" t="str">
        <f aca="true">IF(G617=0," ",OFFSET(Talents!C$2,G617,0))</f>
        <v> </v>
      </c>
      <c r="I617" s="64" t="n">
        <f aca="false">IF(E617&gt;0,G18,0)</f>
        <v>0</v>
      </c>
      <c r="J617" s="64" t="str">
        <f aca="false">IF(H617&lt;&gt;" ",E617+VLOOKUP(H617,G$597:L$603,6,0)+I617," ")</f>
        <v> </v>
      </c>
      <c r="K617" s="64" t="str">
        <f aca="true">IF(J617&lt;&gt;" ",OFFSET(ActionDice,J617,0),"-")</f>
        <v>-</v>
      </c>
      <c r="L617" s="67" t="n">
        <f aca="false">OR(RIGHT(C617, 3)="(D)", NOT(ISERROR(MATCH(D617&amp;" (D)", C$657:C$697, 0))))</f>
        <v>0</v>
      </c>
      <c r="M617" s="64" t="str">
        <f aca="true">IF(G617&gt;0,IF(L617,"D",OFFSET(Talents!D$2,G617,0))&amp;OFFSET(Talents!E$2,G617,0)," ")</f>
        <v>-/-/-</v>
      </c>
      <c r="N617" s="64" t="n">
        <f aca="false">AND(I18="",C617&lt;&gt;" ")</f>
        <v>1</v>
      </c>
      <c r="O617" s="286" t="n">
        <f aca="false">IF(N616,1,0)</f>
        <v>1</v>
      </c>
      <c r="P617" s="324" t="n">
        <f aca="false">IF(Build!$BY617&lt;=Build!P$615,MATCH(Build!$BY617,Build!O$617:O$714,0))</f>
        <v>1</v>
      </c>
      <c r="Q617" s="182" t="n">
        <f aca="false">IF(E190&lt;&gt;"",1,0)</f>
        <v>0</v>
      </c>
      <c r="R617" s="287" t="n">
        <f aca="false">IF($BY617&lt;=R$615,MATCH($BY617,Q$617:Q$660,0))</f>
        <v>32</v>
      </c>
      <c r="S617" s="182" t="n">
        <f aca="false">IF(E115&lt;&gt;"",1,0)</f>
        <v>0</v>
      </c>
      <c r="T617" s="112" t="n">
        <f aca="false">IF($BY617&lt;=T$615,MATCH($BY617,S$617:S$686,0))</f>
        <v>10</v>
      </c>
      <c r="U617" s="286" t="n">
        <f aca="false">IF(B393&lt;&gt;"",1,0)</f>
        <v>0</v>
      </c>
      <c r="V617" s="182" t="n">
        <f aca="false">IF(B425&lt;&gt;"",1,0)</f>
        <v>0</v>
      </c>
      <c r="W617" s="182" t="n">
        <f aca="false">IF(B457&lt;&gt;"",1,0)</f>
        <v>0</v>
      </c>
      <c r="X617" s="182" t="n">
        <f aca="false">IF(B489&lt;&gt;"",1,0)</f>
        <v>0</v>
      </c>
      <c r="Y617" s="182" t="n">
        <f aca="false">IF(B521&lt;&gt;"",1,0)</f>
        <v>0</v>
      </c>
      <c r="Z617" s="182" t="n">
        <f aca="false">IF(B553&lt;&gt;"",1,0)</f>
        <v>0</v>
      </c>
      <c r="AA617" s="286" t="n">
        <f aca="false">IF($BY617&lt;=U$615,MATCH($BY617,U$617:U$737,0))</f>
        <v>0</v>
      </c>
      <c r="AB617" s="182" t="n">
        <f aca="false">IF($BY617&lt;=V$615,MATCH($BY617,V$617:V$737,0))</f>
        <v>0</v>
      </c>
      <c r="AC617" s="182" t="n">
        <f aca="false">IF($BY617&lt;=W$615,MATCH($BY617,W$617:W$746,0))</f>
        <v>0</v>
      </c>
      <c r="AD617" s="182" t="n">
        <f aca="false">IF($BY617&lt;=X$615,MATCH($BY617,X$617:X$737,0))</f>
        <v>0</v>
      </c>
      <c r="AE617" s="182" t="n">
        <f aca="false">IF($BY617&lt;=Y$615,MATCH($BY617,Y$617:Y$737,0))</f>
        <v>0</v>
      </c>
      <c r="AF617" s="287" t="n">
        <f aca="false">IF($BY617&lt;=Z$615,MATCH($BY617,Z$617:Z$737,0))</f>
        <v>0</v>
      </c>
      <c r="AG617" s="325" t="str">
        <f aca="true">IF(AND(AA617&lt;="",$AP8=""),OFFSET(Spells!$H$2,AA617,0),"")</f>
        <v>Effect</v>
      </c>
      <c r="AH617" s="325" t="str">
        <f aca="true">IF(AND(AB617&lt;="",AP8=""),OFFSET(Spells!R$2,AB617,0),"")</f>
        <v>Effect</v>
      </c>
      <c r="AI617" s="325" t="str">
        <f aca="true">IF(AND(AC617&lt;="",AP8=""),OFFSET(Spells!AB$2,AC617,0),"")</f>
        <v>Effect</v>
      </c>
      <c r="AJ617" s="326" t="str">
        <f aca="true">IF(AND(AD617&lt;="",AP8=""),OFFSET(Spells!AL$2,AD617,0),"")</f>
        <v>Effect</v>
      </c>
      <c r="AK617" s="326" t="str">
        <f aca="true">IF(AND(AE617&lt;="",AP8=""),OFFSET(Spells!AV$2,AE617,0),"")</f>
        <v>Effect</v>
      </c>
      <c r="AL617" s="325" t="str">
        <f aca="true">IF(AND(AF617&lt;="",AP8=""),OFFSET(Spells!$H$2,AF617,0),"")</f>
        <v>Effect</v>
      </c>
      <c r="AM617" s="327" t="str">
        <f aca="false">B63</f>
        <v>Dexterity</v>
      </c>
      <c r="AN617" s="112" t="n">
        <f aca="false">D63</f>
        <v>0</v>
      </c>
      <c r="AO617" s="182" t="n">
        <f aca="true">OFFSET(Cost_9_12,AN617,0)</f>
        <v>0</v>
      </c>
      <c r="AP617" s="112" t="n">
        <f aca="false">IF(AN617&gt;0,1,0)</f>
        <v>0</v>
      </c>
      <c r="AQ617" s="324" t="n">
        <f aca="false">IF($BY617&lt;=AQ$615,MATCH($BY617,AP$617:AP$656,0))</f>
        <v>14</v>
      </c>
      <c r="AR617" s="328" t="str">
        <f aca="false">B81&amp;IF(H81&lt;&gt;""," ("&amp;H81&amp;")","")</f>
        <v>Alchemy &amp; Potions</v>
      </c>
      <c r="AS617" s="182" t="n">
        <f aca="false">F81</f>
        <v>0</v>
      </c>
      <c r="AT617" s="112" t="n">
        <f aca="true">OFFSET(CostSkill,AS617,0)-OFFSET(CostSkill,E81,0)</f>
        <v>0</v>
      </c>
      <c r="AU617" s="182" t="str">
        <f aca="false">G81</f>
        <v>P</v>
      </c>
      <c r="AV617" s="182" t="n">
        <f aca="false">IF(AND(AR617&lt;&gt;" ",AS617&gt;0),1,0)</f>
        <v>0</v>
      </c>
      <c r="AW617" s="287" t="n">
        <f aca="false">IF($BY617&lt;=AW$615,MATCH(BY617,AV$617:AV$763,0))</f>
        <v>6</v>
      </c>
      <c r="AX617" s="328" t="s">
        <v>1088</v>
      </c>
      <c r="AY617" s="184" t="n">
        <f aca="false">MATCH(AX617,Talents!G$3:G$210)</f>
        <v>31</v>
      </c>
      <c r="AZ617" s="329" t="str">
        <f aca="true">IF(AY617,OFFSET(Talents!H$2,Build!AY617,0)," ")</f>
        <v>Thread Weaving*</v>
      </c>
      <c r="BA617" s="182" t="n">
        <f aca="true">IF(AY617,OFFSET(Talents!J$2,Build!AY617,0)," ")</f>
        <v>2</v>
      </c>
      <c r="BB617" s="182" t="n">
        <f aca="true">IF(AY617,OFFSET(Talents!I$2,Build!AY617,0)," ")</f>
        <v>5</v>
      </c>
      <c r="BC617" s="182" t="n">
        <f aca="true">IF(AY617,OFFSET(Talents!K$2,Build!AY617,0)," ")</f>
        <v>2100</v>
      </c>
      <c r="BD617" s="112" t="n">
        <f aca="true">IF(AX$663=" ",OFFSET(E$615,MATCH(AZ617,D$616:D$656,0),0),IF(ISERROR(MATCH(AZ617,D$657:D$697,0)),OFFSET(E$615,MATCH(AZ617,D$616:D$656,0),0),IF(OFFSET(E$615,MATCH(AZ617,D$616:D$656,0),0)&gt;OFFSET(E$656,MATCH(AZ617,D$657:D$697,0),0),OFFSET(E$615,MATCH(AZ617,D$616:D$656,0),0),OFFSET(E$656,MATCH(AZ617,D$657:D$697,0),0))))</f>
        <v>6</v>
      </c>
      <c r="BE617" s="182" t="n">
        <f aca="false">IF(ISERROR(BD617), 0,IF(BD617&gt;=BB617,1,0))</f>
        <v>1</v>
      </c>
      <c r="BF617" s="182" t="n">
        <f aca="false">IF($BY617&lt;=BF$615,MATCH(BY617,BE$617:BE$681,0))</f>
        <v>1</v>
      </c>
      <c r="BG617" s="286" t="n">
        <f aca="false">IF(AND(K36&lt;&gt;" ",N36&lt;&gt;""),1,0)</f>
        <v>0</v>
      </c>
      <c r="BH617" s="182" t="n">
        <f aca="false">IF($BY617&lt;=BH$615,MATCH(BY617,BG$617:BG$649,0))</f>
        <v>6</v>
      </c>
      <c r="BI617" s="287" t="n">
        <f aca="true">IF(BH617,OFFSET(Q$35,BH617,0),0)</f>
        <v>800</v>
      </c>
      <c r="BJ617" s="184" t="str">
        <f aca="false">IF(V190&lt;&gt;"",V190," ")</f>
        <v> </v>
      </c>
      <c r="BK617" s="182" t="n">
        <f aca="false">Y190</f>
        <v>0</v>
      </c>
      <c r="BL617" s="182" t="n">
        <f aca="false">IF(BJ617&lt;&gt;" ",BK617,0)</f>
        <v>0</v>
      </c>
      <c r="BM617" s="182" t="n">
        <v>0</v>
      </c>
      <c r="BN617" s="182" t="n">
        <f aca="false">IF(BJ617&lt;&gt;" ",BM617,0)</f>
        <v>0</v>
      </c>
      <c r="BO617" s="184" t="str">
        <f aca="false">MID(BO618&amp;IF(BJ617&lt;&gt;" ",", "&amp;BJ617&amp;" ("&amp;BK617&amp;")",""),3,255)</f>
        <v>Karma (3), Horror Fend (3), Absorb Blow (2)</v>
      </c>
      <c r="BP617" s="328" t="n">
        <f aca="false">IF(BJ617&lt;&gt;" ",1,0)</f>
        <v>0</v>
      </c>
      <c r="BQ617" s="290" t="n">
        <f aca="false">IF($BY617&lt;=BP$626,MATCH($BY617,BP$617:BP$626,0))</f>
        <v>0</v>
      </c>
      <c r="BR617" s="184" t="s">
        <v>1089</v>
      </c>
      <c r="BS617" s="182" t="e">
        <f aca="false">MATCH(BR617,D$616:D$713,0)</f>
        <v>#N/A</v>
      </c>
      <c r="BT617" s="182" t="e">
        <f aca="true">OFFSET(E$615,BS617,0)+OFFSET(I$615,BS617,0)</f>
        <v>#N/A</v>
      </c>
      <c r="BU617" s="182" t="n">
        <f aca="false">IF(ISERROR(BT617),0,IF(BT617&gt;0,1,0))</f>
        <v>0</v>
      </c>
      <c r="BV617" s="182" t="n">
        <f aca="false">IF($BY617&lt;=BV$615,MATCH($BY617,BU$617:BU$649,0))</f>
        <v>0</v>
      </c>
      <c r="BW617" s="304" t="s">
        <v>1090</v>
      </c>
      <c r="BX617" s="304" t="e">
        <f aca="false">CHAR(64+BU617)&amp;": "&amp;BW617&amp;" ("&amp;BT617&amp;")"</f>
        <v>#N/A</v>
      </c>
      <c r="BY617" s="330" t="n">
        <v>1</v>
      </c>
      <c r="BZ617" s="184" t="str">
        <f aca="false">B235</f>
        <v>Peasant's Garb</v>
      </c>
      <c r="CA617" s="182" t="n">
        <f aca="false">E235</f>
        <v>0</v>
      </c>
      <c r="CB617" s="182" t="n">
        <f aca="false">F235</f>
        <v>1.2</v>
      </c>
      <c r="CC617" s="182" t="s">
        <v>301</v>
      </c>
      <c r="CD617" s="184" t="e">
        <f aca="false">FIND(",",BZ617)</f>
        <v>#VALUE!</v>
      </c>
      <c r="CE617" s="329" t="str">
        <f aca="false">IF(ISERROR(CD617),BZ617,MID(BZ617,CD617+2,20)&amp;" "&amp;LEFT(BZ617,CD617-1))&amp;IF(ISERROR(VALUE(CA617)),"",IF(CA617&gt;1," ("&amp;CA617&amp;")",""))</f>
        <v>Peasant's Garb</v>
      </c>
      <c r="CF617" s="329" t="str">
        <f aca="false">IF(CC617=" "," ",IF(ISERROR(VALUE(CA617)),CC617,CA617*CC617))</f>
        <v> </v>
      </c>
      <c r="CG617" s="182" t="n">
        <f aca="false">IF(AND(BZ617&lt;&gt;0,CA617&lt;&gt;0),1,0)</f>
        <v>0</v>
      </c>
      <c r="CH617" s="182" t="n">
        <f aca="false">IF($BY617&lt;=CH$615,MATCH($BZ617,CE$617:CE$863,0))</f>
        <v>1</v>
      </c>
      <c r="CI617" s="328" t="str">
        <f aca="false">AA190</f>
        <v>Dwarven</v>
      </c>
      <c r="CJ617" s="331" t="str">
        <f aca="false">AD190</f>
        <v>X</v>
      </c>
      <c r="CK617" s="331" t="str">
        <f aca="false">AE190</f>
        <v>X</v>
      </c>
      <c r="CL617" s="184" t="n">
        <f aca="false">IF(AND(CI617&lt;&gt;0,CJ617&lt;&gt;0),1,0)</f>
        <v>1</v>
      </c>
      <c r="CM617" s="184" t="n">
        <f aca="false">IF(AND(CI617&lt;&gt;0,CK617&lt;&gt;0),1,0)</f>
        <v>1</v>
      </c>
      <c r="CN617" s="184" t="n">
        <f aca="false">IF($BY617&lt;=CL$627,MATCH($BY617,CL$617:CL$627,0))</f>
        <v>1</v>
      </c>
      <c r="CO617" s="290" t="n">
        <f aca="false">IF($BY617&lt;=CM$627,MATCH($BY617,CM$617:CM$627,0))</f>
        <v>1</v>
      </c>
    </row>
    <row r="618" customFormat="false" ht="12.75" hidden="false" customHeight="false" outlineLevel="0" collapsed="false">
      <c r="B618" s="279" t="n">
        <v>1</v>
      </c>
      <c r="C618" s="67" t="str">
        <f aca="false">IF(Circle1&gt;=$B618,HLOOKUP(Discipline1,talentfordisc,1+BY619,0)," ")</f>
        <v>Search (D)</v>
      </c>
      <c r="D618" s="67" t="str">
        <f aca="false">IF(RIGHT(C618, 3)="(D)",LEFT(C618,LEN(C618)-4),C618)</f>
        <v>Search</v>
      </c>
      <c r="E618" s="64" t="n">
        <f aca="false">F19</f>
        <v>8</v>
      </c>
      <c r="F618" s="182" t="n">
        <f aca="true">OFFSET(Cost_1_4,E618,0)</f>
        <v>8700</v>
      </c>
      <c r="G618" s="64" t="n">
        <f aca="false">IF(C618&lt;&gt;" ",MATCH(D618,Talents!B$3:B$345,1),0)</f>
        <v>218</v>
      </c>
      <c r="H618" s="64" t="str">
        <f aca="true">IF(G618=0," ",OFFSET(Talents!C$2,G618,0))</f>
        <v>P</v>
      </c>
      <c r="I618" s="64" t="n">
        <f aca="false">IF(E618&gt;0,G19,0)</f>
        <v>0</v>
      </c>
      <c r="J618" s="64" t="n">
        <f aca="false">IF(H618&lt;&gt;" ",E618+VLOOKUP(H618,G$597:L$603,6,0)+I618," ")</f>
        <v>15</v>
      </c>
      <c r="K618" s="64" t="str">
        <f aca="true">IF(J618&lt;&gt;" ",OFFSET(ActionDice,J618,0),"-")</f>
        <v>d12 +2d6</v>
      </c>
      <c r="L618" s="67" t="n">
        <f aca="false">OR(RIGHT(C618, 3)="(D)", NOT(ISERROR(MATCH(D618&amp;" (D)", C$657:C$697, 0))))</f>
        <v>1</v>
      </c>
      <c r="M618" s="64" t="str">
        <f aca="true">IF(G618&gt;0,IF(L618,"D",OFFSET(Talents!D$2,G618,0))&amp;OFFSET(Talents!E$2,G618,0)," ")</f>
        <v>D/A/1</v>
      </c>
      <c r="N618" s="64" t="n">
        <f aca="false">AND(I19="",C618&lt;&gt;" ")</f>
        <v>1</v>
      </c>
      <c r="O618" s="300" t="n">
        <f aca="false">O617+IF(N617,1,0)</f>
        <v>2</v>
      </c>
      <c r="P618" s="324" t="n">
        <f aca="false">IF(Build!$BY618&lt;=Build!P$615,MATCH(Build!$BY618,Build!O$617:O$714,0))</f>
        <v>2</v>
      </c>
      <c r="Q618" s="112" t="n">
        <f aca="false">Q617+IF(E191&lt;&gt;"",1,0)</f>
        <v>0</v>
      </c>
      <c r="R618" s="324" t="n">
        <f aca="false">IF($BY618&lt;=R$615,MATCH($BY618,Q$617:Q$660,0))</f>
        <v>36</v>
      </c>
      <c r="S618" s="112" t="n">
        <f aca="false">S617+IF(E116&lt;&gt;"",1,0)</f>
        <v>0</v>
      </c>
      <c r="T618" s="112" t="n">
        <f aca="false">IF($BY618&lt;=T$615,MATCH($BY618,S$617:S$686,0))</f>
        <v>28</v>
      </c>
      <c r="U618" s="300" t="n">
        <f aca="false">U617+IF(B394&lt;&gt;"",1,0)</f>
        <v>0</v>
      </c>
      <c r="V618" s="112" t="n">
        <f aca="false">V617+IF(B426&lt;&gt;"",1,0)</f>
        <v>0</v>
      </c>
      <c r="W618" s="112" t="n">
        <f aca="false">W617+IF(B458&lt;&gt;"",1,0)</f>
        <v>0</v>
      </c>
      <c r="X618" s="112" t="n">
        <f aca="false">X617+IF(B490&lt;&gt;"",1,0)</f>
        <v>0</v>
      </c>
      <c r="Y618" s="112" t="n">
        <f aca="false">Y617+IF(B522&lt;&gt;"",1,0)</f>
        <v>0</v>
      </c>
      <c r="Z618" s="324" t="n">
        <f aca="false">IF(B554&lt;&gt;"",1,0)</f>
        <v>0</v>
      </c>
      <c r="AA618" s="300" t="n">
        <f aca="false">IF($BY618&lt;=U$615,MATCH($BY618,U$617:U$737,0))</f>
        <v>0</v>
      </c>
      <c r="AB618" s="112" t="n">
        <f aca="false">IF($BY618&lt;=V$615,MATCH($BY618,V$617:V$737,0))</f>
        <v>0</v>
      </c>
      <c r="AC618" s="112" t="n">
        <f aca="false">IF($BY618&lt;=W$615,MATCH($BY618,W$617:W$737,0))</f>
        <v>0</v>
      </c>
      <c r="AD618" s="112" t="n">
        <f aca="false">IF($BY618&lt;=X$615,MATCH($BY618,X$617:X$737,0))</f>
        <v>0</v>
      </c>
      <c r="AE618" s="112" t="n">
        <f aca="false">IF($BY618&lt;=Y$615,MATCH($BY618,Y$617:Y$737,0))</f>
        <v>0</v>
      </c>
      <c r="AF618" s="324" t="n">
        <f aca="false">IF($BY618&lt;=Z$615,MATCH($BY618,Z$617:Z$737,0))</f>
        <v>0</v>
      </c>
      <c r="AG618" s="325" t="str">
        <f aca="true">IF(AND(AA618&lt;="",AP9=""),OFFSET(Spells!H$2,AA618,0),"")</f>
        <v>Effect</v>
      </c>
      <c r="AH618" s="325" t="str">
        <f aca="true">IF(AND(AB618&lt;="",AP9=""),OFFSET(Spells!R$2,AB618,0),"")</f>
        <v>Effect</v>
      </c>
      <c r="AI618" s="325" t="str">
        <f aca="true">IF(AND(AC618&lt;="",AP9=""),OFFSET(Spells!AB$2,AC618,0),"")</f>
        <v>Effect</v>
      </c>
      <c r="AJ618" s="326" t="str">
        <f aca="true">IF(AND(AD618&lt;="",AP9=""),OFFSET(Spells!AL$2,AD618,0),"")</f>
        <v>Effect</v>
      </c>
      <c r="AK618" s="326" t="str">
        <f aca="true">IF(AND(AE618&lt;="",AP9=""),OFFSET(Spells!AV$2,AE618,0),"")</f>
        <v>Effect</v>
      </c>
      <c r="AL618" s="325" t="str">
        <f aca="true">IF(AND(AF618&lt;="",AP9=""),OFFSET(Spells!$H$2,AF618,0),"")</f>
        <v>Effect</v>
      </c>
      <c r="AM618" s="327" t="str">
        <f aca="false">B64</f>
        <v>Strength</v>
      </c>
      <c r="AN618" s="112" t="n">
        <f aca="false">D64</f>
        <v>0</v>
      </c>
      <c r="AO618" s="112" t="n">
        <f aca="true">OFFSET(Cost_9_12,AN618,0)</f>
        <v>0</v>
      </c>
      <c r="AP618" s="112" t="n">
        <f aca="false">AP617+IF(AN618&gt;0,1,0)</f>
        <v>0</v>
      </c>
      <c r="AQ618" s="324" t="n">
        <f aca="false">IF($BY618&lt;=AQ$615,MATCH($BY618,AP$617:AP$656,0))</f>
        <v>15</v>
      </c>
      <c r="AR618" s="327" t="str">
        <f aca="false">B82&amp;IF(H82&lt;&gt;""," ("&amp;H82&amp;")","")</f>
        <v>Ancient Weapons</v>
      </c>
      <c r="AS618" s="112" t="n">
        <f aca="false">F82</f>
        <v>0</v>
      </c>
      <c r="AT618" s="112" t="n">
        <f aca="true">OFFSET(CostSkill,AS618,0)-OFFSET(CostSkill,E82,0)</f>
        <v>0</v>
      </c>
      <c r="AU618" s="112" t="str">
        <f aca="false">G82</f>
        <v>P</v>
      </c>
      <c r="AV618" s="112" t="n">
        <f aca="false">AV617+IF(AND(AR618&lt;&gt;" ",AS618&gt;0),1,0)</f>
        <v>0</v>
      </c>
      <c r="AW618" s="324" t="n">
        <f aca="false">IF($BY618&lt;=AW$615,MATCH(BY618,AV$617:AV$763,0))</f>
        <v>8</v>
      </c>
      <c r="AX618" s="327" t="s">
        <v>1091</v>
      </c>
      <c r="AY618" s="329" t="n">
        <f aca="false">MATCH(AX618,Talents!G$3:G$210)</f>
        <v>168</v>
      </c>
      <c r="AZ618" s="329" t="str">
        <f aca="true">IF(AY618,OFFSET(Talents!H$2,Build!AY618,0)," ")</f>
        <v>Thread Weaving*</v>
      </c>
      <c r="BA618" s="112" t="str">
        <f aca="true">IF(AY618,OFFSET(Talents!J$2,Build!AY618,0)," ")</f>
        <v>2+</v>
      </c>
      <c r="BB618" s="112" t="n">
        <f aca="true">IF(AY618,OFFSET(Talents!I$2,Build!AY618,0)," ")</f>
        <v>6</v>
      </c>
      <c r="BC618" s="112" t="n">
        <f aca="true">IF(AY618,OFFSET(Talents!K$2,Build!AY618,0)," ")</f>
        <v>3400</v>
      </c>
      <c r="BD618" s="112" t="n">
        <f aca="true">IF(AX$663=" ",OFFSET(E$615,MATCH(AZ618,D$616:D$656,0),0),IF(ISERROR(MATCH(AZ618,D$657:D$697,0)),OFFSET(E$615,MATCH(AZ618,D$616:D$656,0),0),IF(OFFSET(E$615,MATCH(AZ618,D$616:D$656,0),0)&gt;OFFSET(E$656,MATCH(AZ618,D$657:D$697,0),0),OFFSET(E$615,MATCH(AZ618,D$616:D$656,0),0),OFFSET(E$656,MATCH(AZ618,D$657:D$697,0),0))))</f>
        <v>6</v>
      </c>
      <c r="BE618" s="112" t="n">
        <f aca="false">BE617+IF(ISERROR(BD618), 0, IF(BD618&gt;=BB618, 1, 0))</f>
        <v>2</v>
      </c>
      <c r="BF618" s="324" t="n">
        <f aca="false">IF($BY618&lt;=BF$615,MATCH(BY618,BE$617:BE$681,0))</f>
        <v>2</v>
      </c>
      <c r="BG618" s="112" t="n">
        <f aca="false">BG617+IF(AND(K37&lt;&gt;" ",N37&lt;&gt;""),1,0)</f>
        <v>0</v>
      </c>
      <c r="BH618" s="112" t="n">
        <f aca="false">IF($BY618&lt;=BH$615,MATCH(BY618,BG$617:BG$649,0))</f>
        <v>19</v>
      </c>
      <c r="BI618" s="324" t="n">
        <f aca="true">IF(BH618,OFFSET(Q$35,BH618,0),0)</f>
        <v>200</v>
      </c>
      <c r="BJ618" s="329" t="str">
        <f aca="false">IF(V191&lt;&gt;"",V191," ")</f>
        <v> </v>
      </c>
      <c r="BK618" s="112" t="n">
        <f aca="false">Y191</f>
        <v>0</v>
      </c>
      <c r="BL618" s="112" t="n">
        <f aca="false">BL617+IF(BJ618&lt;&gt;" ",BK618,0)</f>
        <v>0</v>
      </c>
      <c r="BM618" s="112" t="n">
        <v>0</v>
      </c>
      <c r="BN618" s="112" t="n">
        <f aca="false">BN617+IF(BJ618&lt;&gt;" ",BM618,0)</f>
        <v>0</v>
      </c>
      <c r="BO618" s="329" t="str">
        <f aca="false">BO619&amp;IF(BJ618&lt;&gt;" ",", "&amp;BJ618&amp;" ("&amp;BK618&amp;")","")</f>
        <v>, Karma (3), Horror Fend (3), Absorb Blow (2)</v>
      </c>
      <c r="BP618" s="327" t="n">
        <f aca="false">BP617+IF(BJ618&lt;&gt;" ",1,0)</f>
        <v>0</v>
      </c>
      <c r="BQ618" s="332" t="n">
        <f aca="false">IF($BY618&lt;=BP$626,MATCH($BY618,BP$617:BP$626,0))</f>
        <v>0</v>
      </c>
      <c r="BR618" s="329" t="s">
        <v>1092</v>
      </c>
      <c r="BS618" s="112" t="e">
        <f aca="false">MATCH(BR618,D$616:D$713,0)</f>
        <v>#N/A</v>
      </c>
      <c r="BT618" s="112" t="e">
        <f aca="true">OFFSET(E$615,BS618,0)+OFFSET(I$615,BS618,0)</f>
        <v>#N/A</v>
      </c>
      <c r="BU618" s="112" t="n">
        <f aca="false">BU617+IF(ISERROR(BT618),0,IF(BT618&gt;0,1,0))</f>
        <v>0</v>
      </c>
      <c r="BV618" s="112" t="n">
        <f aca="false">IF($BY618&lt;=BV$615,MATCH($BY618,BU$617:BU$649,0))</f>
        <v>0</v>
      </c>
      <c r="BW618" s="301" t="s">
        <v>1090</v>
      </c>
      <c r="BX618" s="301" t="e">
        <f aca="false">CHAR(64+BU618)&amp;": "&amp;BW618&amp;" ("&amp;BT618&amp;")"</f>
        <v>#N/A</v>
      </c>
      <c r="BY618" s="333" t="n">
        <f aca="false">BY617+1</f>
        <v>2</v>
      </c>
      <c r="BZ618" s="329" t="str">
        <f aca="false">B236</f>
        <v>Peasant's Robes</v>
      </c>
      <c r="CA618" s="112" t="n">
        <f aca="false">E236</f>
        <v>0</v>
      </c>
      <c r="CB618" s="112" t="n">
        <f aca="false">F236</f>
        <v>3</v>
      </c>
      <c r="CC618" s="112" t="s">
        <v>301</v>
      </c>
      <c r="CD618" s="329" t="e">
        <f aca="false">FIND(",",BZ618)</f>
        <v>#VALUE!</v>
      </c>
      <c r="CE618" s="329" t="str">
        <f aca="false">IF(ISERROR(CD618),BZ618,MID(BZ618,CD618+2,20)&amp;" "&amp;LEFT(BZ618,CD618-1))&amp;IF(ISERROR(VALUE(CA618)),"",IF(CA618&gt;1," ("&amp;CA618&amp;")",""))</f>
        <v>Peasant's Robes</v>
      </c>
      <c r="CF618" s="329" t="str">
        <f aca="false">IF(CC618=" "," ",IF(ISERROR(VALUE(CA618)),CC618,CA618*CC618))</f>
        <v> </v>
      </c>
      <c r="CG618" s="112" t="n">
        <f aca="false">CG617+IF(AND(BZ618&lt;&gt;0,CA618&lt;&gt;0),1,0)</f>
        <v>0</v>
      </c>
      <c r="CH618" s="112" t="n">
        <f aca="false">IF($BY618&lt;=CH$615,MATCH($BY618,CG$617:CG$863,0))</f>
        <v>18</v>
      </c>
      <c r="CI618" s="327" t="str">
        <f aca="false">AA191</f>
        <v>Sperethiel (Elven)</v>
      </c>
      <c r="CJ618" s="334" t="n">
        <f aca="false">AD191</f>
        <v>0</v>
      </c>
      <c r="CK618" s="334" t="n">
        <f aca="false">AE191</f>
        <v>0</v>
      </c>
      <c r="CL618" s="329" t="n">
        <f aca="false">CL617+IF(AND(CI618&lt;&gt;0,CJ618&lt;&gt;0),1,0)</f>
        <v>1</v>
      </c>
      <c r="CM618" s="329" t="n">
        <f aca="false">CM617+IF(AND(CI618&lt;&gt;0,CK618&lt;&gt;0),1,0)</f>
        <v>1</v>
      </c>
      <c r="CN618" s="329" t="n">
        <f aca="false">IF($BY618&lt;=CL$627,MATCH($BY618,CL$617:CL$627,0))</f>
        <v>3</v>
      </c>
      <c r="CO618" s="329" t="n">
        <f aca="false">IF($BY618&lt;=CM$627,MATCH($BY618,CM$617:CM$627,0))</f>
        <v>9</v>
      </c>
    </row>
    <row r="619" customFormat="false" ht="12.75" hidden="false" customHeight="false" outlineLevel="0" collapsed="false">
      <c r="B619" s="279" t="n">
        <v>1</v>
      </c>
      <c r="C619" s="67" t="str">
        <f aca="false">IF(Circle1&gt;=$B619,HLOOKUP(Discipline1,talentfordisc,1+BY620,0)," ")</f>
        <v>Silent Walk (D)</v>
      </c>
      <c r="D619" s="67" t="str">
        <f aca="false">IF(RIGHT(C619, 3)="(D)",LEFT(C619,LEN(C619)-4),C619)</f>
        <v>Silent Walk</v>
      </c>
      <c r="E619" s="64" t="n">
        <f aca="false">F20</f>
        <v>8</v>
      </c>
      <c r="F619" s="182" t="n">
        <f aca="true">OFFSET(Cost_1_4,E619,0)</f>
        <v>8700</v>
      </c>
      <c r="G619" s="64" t="n">
        <f aca="false">IF(C619&lt;&gt;" ",MATCH(D619,Talents!B$3:B$345,1),0)</f>
        <v>234</v>
      </c>
      <c r="H619" s="64" t="str">
        <f aca="true">IF(G619=0," ",OFFSET(Talents!C$2,G619,0))</f>
        <v>D</v>
      </c>
      <c r="I619" s="64" t="n">
        <f aca="false">IF(E619&gt;0,G20,0)</f>
        <v>0</v>
      </c>
      <c r="J619" s="64" t="n">
        <f aca="false">IF(H619&lt;&gt;" ",E619+VLOOKUP(H619,G$597:L$603,6,0)+I619," ")</f>
        <v>15</v>
      </c>
      <c r="K619" s="64" t="str">
        <f aca="true">IF(J619&lt;&gt;" ",OFFSET(ActionDice,J619,0),"-")</f>
        <v>d12 +2d6</v>
      </c>
      <c r="L619" s="67" t="n">
        <f aca="false">OR(RIGHT(C619, 3)="(D)", NOT(ISERROR(MATCH(D619&amp;" (D)", C$657:C$697, 0))))</f>
        <v>1</v>
      </c>
      <c r="M619" s="64" t="str">
        <f aca="true">IF(G619&gt;0,IF(L619,"D",OFFSET(Talents!D$2,G619,0))&amp;OFFSET(Talents!E$2,G619,0)," ")</f>
        <v>D/S/-</v>
      </c>
      <c r="N619" s="64" t="n">
        <f aca="false">AND(I20="",C619&lt;&gt;" ")</f>
        <v>1</v>
      </c>
      <c r="O619" s="300" t="n">
        <f aca="false">O618+IF(N618,1,0)</f>
        <v>3</v>
      </c>
      <c r="P619" s="324" t="n">
        <f aca="false">IF(Build!$BY619&lt;=Build!P$615,MATCH(Build!$BY619,Build!O$617:O$714,0))</f>
        <v>3</v>
      </c>
      <c r="Q619" s="112" t="n">
        <f aca="false">Q618+IF(E192&lt;&gt;"",1,0)</f>
        <v>0</v>
      </c>
      <c r="R619" s="324" t="n">
        <f aca="false">IF($BY619&lt;=R$615,MATCH($BY619,Q$617:Q$660,0))</f>
        <v>0</v>
      </c>
      <c r="S619" s="112" t="n">
        <f aca="false">S618+IF(E117&lt;&gt;"",1,0)</f>
        <v>0</v>
      </c>
      <c r="T619" s="112" t="n">
        <f aca="false">IF($BY619&lt;=T$615,MATCH($BY619,S$617:S$686,0))</f>
        <v>47</v>
      </c>
      <c r="U619" s="300" t="n">
        <f aca="false">U618+IF(B395&lt;&gt;"",1,0)</f>
        <v>0</v>
      </c>
      <c r="V619" s="112" t="n">
        <f aca="false">V618+IF(B427&lt;&gt;"",1,0)</f>
        <v>0</v>
      </c>
      <c r="W619" s="112" t="n">
        <f aca="false">W618+IF(B459&lt;&gt;"",1,0)</f>
        <v>0</v>
      </c>
      <c r="X619" s="112" t="n">
        <f aca="false">X618+IF(B491&lt;&gt;"",1,0)</f>
        <v>0</v>
      </c>
      <c r="Y619" s="112" t="n">
        <f aca="false">Y618+IF(B523&lt;&gt;"",1,0)</f>
        <v>0</v>
      </c>
      <c r="Z619" s="324" t="n">
        <f aca="false">IF(B555&lt;&gt;"",1,0)</f>
        <v>0</v>
      </c>
      <c r="AA619" s="300" t="n">
        <f aca="false">IF($BY619&lt;=U$615,MATCH($BY619,U$617:U$737,0))</f>
        <v>0</v>
      </c>
      <c r="AB619" s="112" t="n">
        <f aca="false">IF($BY619&lt;=V$615,MATCH($BY619,V$617:V$737,0))</f>
        <v>0</v>
      </c>
      <c r="AC619" s="112" t="n">
        <f aca="false">IF($BY619&lt;=W$615,MATCH($BY619,W$617:W$737,0))</f>
        <v>0</v>
      </c>
      <c r="AD619" s="112" t="n">
        <f aca="false">IF($BY619&lt;=X$615,MATCH($BY619,X$617:X$737,0))</f>
        <v>0</v>
      </c>
      <c r="AE619" s="112" t="n">
        <f aca="false">IF($BY619&lt;=Y$615,MATCH($BY619,Y$617:Y$737,0))</f>
        <v>0</v>
      </c>
      <c r="AF619" s="324" t="n">
        <f aca="false">IF($BY619&lt;=Z$615,MATCH($BY619,Z$617:Z$737,0))</f>
        <v>0</v>
      </c>
      <c r="AG619" s="325" t="str">
        <f aca="true">IF(AND(AA619&lt;="",AP10=""),OFFSET(Spells!H$2,AA619,0),"")</f>
        <v>Effect</v>
      </c>
      <c r="AH619" s="325" t="str">
        <f aca="true">IF(AND(AB619&lt;="",AP10=""),OFFSET(Spells!R$2,AB619,0),"")</f>
        <v>Effect</v>
      </c>
      <c r="AI619" s="325" t="str">
        <f aca="true">IF(AND(AC619&lt;="",AP10=""),OFFSET(Spells!AB$2,AC619,0),"")</f>
        <v>Effect</v>
      </c>
      <c r="AJ619" s="326" t="str">
        <f aca="true">IF(AND(AD619&lt;="",AP10=""),OFFSET(Spells!AL$2,AD619,0),"")</f>
        <v>Effect</v>
      </c>
      <c r="AK619" s="326" t="str">
        <f aca="true">IF(AND(AE619&lt;="",AP10=""),OFFSET(Spells!AV$2,AE619,0),"")</f>
        <v>Effect</v>
      </c>
      <c r="AL619" s="325" t="str">
        <f aca="true">IF(AND(AF619&lt;="",AP10=""),OFFSET(Spells!$H$2,AF619,0),"")</f>
        <v>Effect</v>
      </c>
      <c r="AM619" s="327" t="str">
        <f aca="false">B65</f>
        <v>Toughness</v>
      </c>
      <c r="AN619" s="112" t="n">
        <f aca="false">D65</f>
        <v>0</v>
      </c>
      <c r="AO619" s="112" t="n">
        <f aca="true">OFFSET(Cost_9_12,AN619,0)</f>
        <v>0</v>
      </c>
      <c r="AP619" s="112" t="n">
        <f aca="false">AP618+IF(AN619&gt;0,1,0)</f>
        <v>0</v>
      </c>
      <c r="AQ619" s="324" t="n">
        <f aca="false">IF($BY619&lt;=AQ$615,MATCH($BY619,AP$617:AP$656,0))</f>
        <v>16</v>
      </c>
      <c r="AR619" s="327" t="str">
        <f aca="false">B83&amp;IF(H83&lt;&gt;""," ("&amp;H83&amp;")","")</f>
        <v>Animal Lore</v>
      </c>
      <c r="AS619" s="112" t="n">
        <f aca="false">F83</f>
        <v>0</v>
      </c>
      <c r="AT619" s="112" t="n">
        <f aca="true">OFFSET(CostSkill,AS619,0)-OFFSET(CostSkill,E83,0)</f>
        <v>0</v>
      </c>
      <c r="AU619" s="112" t="str">
        <f aca="false">G83</f>
        <v>P</v>
      </c>
      <c r="AV619" s="112" t="n">
        <f aca="false">AV618+IF(AND(AR619&lt;&gt;" ",AS619&gt;0),1,0)</f>
        <v>0</v>
      </c>
      <c r="AW619" s="324" t="n">
        <f aca="false">IF($BY619&lt;=AW$615,MATCH(BY619,AV$617:AV$763,0))</f>
        <v>12</v>
      </c>
      <c r="AX619" s="327" t="s">
        <v>1093</v>
      </c>
      <c r="AY619" s="329" t="n">
        <f aca="false">MATCH(AX619,Talents!G$3:G$210)</f>
        <v>171</v>
      </c>
      <c r="AZ619" s="329" t="str">
        <f aca="true">IF(AY619,OFFSET(Talents!H$2,Build!AY619,0)," ")</f>
        <v>Thread Weaving*</v>
      </c>
      <c r="BA619" s="112" t="n">
        <f aca="true">IF(AY619,OFFSET(Talents!J$2,Build!AY619,0)," ")</f>
        <v>2</v>
      </c>
      <c r="BB619" s="112" t="n">
        <f aca="true">IF(AY619,OFFSET(Talents!I$2,Build!AY619,0)," ")</f>
        <v>5</v>
      </c>
      <c r="BC619" s="112" t="n">
        <f aca="true">IF(AY619,OFFSET(Talents!K$2,Build!AY619,0)," ")</f>
        <v>2100</v>
      </c>
      <c r="BD619" s="112" t="n">
        <f aca="true">IF(AX$663=" ",OFFSET(E$615,MATCH(AZ619,D$616:D$656,0),0),IF(ISERROR(MATCH(AZ619,D$657:D$697,0)),OFFSET(E$615,MATCH(AZ619,D$616:D$656,0),0),IF(OFFSET(E$615,MATCH(AZ619,D$616:D$656,0),0)&gt;OFFSET(E$656,MATCH(AZ619,D$657:D$697,0),0),OFFSET(E$615,MATCH(AZ619,D$616:D$656,0),0),OFFSET(E$656,MATCH(AZ619,D$657:D$697,0),0))))</f>
        <v>6</v>
      </c>
      <c r="BE619" s="112" t="n">
        <f aca="false">BE618+IF(ISERROR(BD619), 0, IF(BD619&gt;=BB619, 1, 0))</f>
        <v>3</v>
      </c>
      <c r="BF619" s="324" t="n">
        <f aca="false">IF($BY619&lt;=BF$615,MATCH(BY619,BE$617:BE$681,0))</f>
        <v>3</v>
      </c>
      <c r="BG619" s="112" t="n">
        <f aca="false">BG618+IF(AND(K38&lt;&gt;" ",N38&lt;&gt;""),1,0)</f>
        <v>0</v>
      </c>
      <c r="BH619" s="112" t="n">
        <f aca="false">IF($BY619&lt;=BH$615,MATCH(BY619,BG$617:BG$649,0))</f>
        <v>0</v>
      </c>
      <c r="BI619" s="324" t="n">
        <f aca="true">IF(BH619,OFFSET(Q$35,BH619,0),0)</f>
        <v>0</v>
      </c>
      <c r="BJ619" s="329" t="str">
        <f aca="false">IF(V192&lt;&gt;"",V192," ")</f>
        <v> </v>
      </c>
      <c r="BK619" s="112" t="n">
        <f aca="false">Y192</f>
        <v>0</v>
      </c>
      <c r="BL619" s="112" t="n">
        <f aca="false">BL618+IF(BJ619&lt;&gt;" ",BK619,0)</f>
        <v>0</v>
      </c>
      <c r="BM619" s="112" t="n">
        <v>0</v>
      </c>
      <c r="BN619" s="112" t="n">
        <f aca="false">BN618+IF(BJ619&lt;&gt;" ",BM619,0)</f>
        <v>0</v>
      </c>
      <c r="BO619" s="329" t="str">
        <f aca="false">BO620&amp;IF(BJ619&lt;&gt;" ",", "&amp;BJ619&amp;" ("&amp;BK619&amp;")","")</f>
        <v>, Karma (3), Horror Fend (3), Absorb Blow (2)</v>
      </c>
      <c r="BP619" s="327" t="n">
        <f aca="false">BP618+IF(BJ619&lt;&gt;" ",1,0)</f>
        <v>0</v>
      </c>
      <c r="BQ619" s="332" t="n">
        <f aca="false">IF($BY619&lt;=BP$626,MATCH($BY619,BP$617:BP$626,0))</f>
        <v>0</v>
      </c>
      <c r="BR619" s="329" t="s">
        <v>1094</v>
      </c>
      <c r="BS619" s="112" t="e">
        <f aca="false">MATCH(BR619,D$616:D$713,0)</f>
        <v>#N/A</v>
      </c>
      <c r="BT619" s="112" t="e">
        <f aca="true">OFFSET(E$615,BS619,0)+OFFSET(I$615,BS619,0)</f>
        <v>#N/A</v>
      </c>
      <c r="BU619" s="112" t="n">
        <f aca="false">BU618+IF(ISERROR(BT619),0,IF(BT619&gt;0,1,0))</f>
        <v>0</v>
      </c>
      <c r="BV619" s="112" t="n">
        <f aca="false">IF($BY619&lt;=BV$615,MATCH($BY619,BU$617:BU$649,0))</f>
        <v>0</v>
      </c>
      <c r="BW619" s="301" t="s">
        <v>1090</v>
      </c>
      <c r="BX619" s="301" t="e">
        <f aca="false">CHAR(64+BU619)&amp;": "&amp;BW619&amp;" ("&amp;BT619&amp;")"</f>
        <v>#N/A</v>
      </c>
      <c r="BY619" s="333" t="n">
        <f aca="false">BY618+1</f>
        <v>3</v>
      </c>
      <c r="BZ619" s="329" t="str">
        <f aca="false">B237</f>
        <v>Traveler's Garb</v>
      </c>
      <c r="CA619" s="112" t="str">
        <f aca="false">E237</f>
        <v>X</v>
      </c>
      <c r="CB619" s="112" t="n">
        <f aca="false">F237</f>
        <v>8</v>
      </c>
      <c r="CC619" s="112" t="s">
        <v>301</v>
      </c>
      <c r="CD619" s="329" t="e">
        <f aca="false">FIND(",",BZ619)</f>
        <v>#VALUE!</v>
      </c>
      <c r="CE619" s="329" t="str">
        <f aca="false">IF(ISERROR(CD619),BZ619,MID(BZ619,CD619+2,20)&amp;" "&amp;LEFT(BZ619,CD619-1))&amp;IF(ISERROR(VALUE(CA619)),"",IF(CA619&gt;1," ("&amp;CA619&amp;")",""))</f>
        <v>Traveler's Garb</v>
      </c>
      <c r="CF619" s="329" t="str">
        <f aca="false">IF(CC619=" "," ",IF(ISERROR(VALUE(CA619)),CC619,CA619*CC619))</f>
        <v> </v>
      </c>
      <c r="CG619" s="112" t="n">
        <f aca="false">CG618+IF(AND(BZ619&lt;&gt;0,CA619&lt;&gt;0),1,0)</f>
        <v>1</v>
      </c>
      <c r="CH619" s="112" t="n">
        <f aca="false">IF($BY619&lt;=CH$615,MATCH($BY619,CG$617:CG$863,0))</f>
        <v>19</v>
      </c>
      <c r="CI619" s="327" t="str">
        <f aca="false">AA192</f>
        <v>Human</v>
      </c>
      <c r="CJ619" s="334" t="str">
        <f aca="false">AD192</f>
        <v>X</v>
      </c>
      <c r="CK619" s="334" t="n">
        <f aca="false">AE192</f>
        <v>0</v>
      </c>
      <c r="CL619" s="329" t="n">
        <f aca="false">CL618+IF(AND(CI619&lt;&gt;0,CJ619&lt;&gt;0),1,0)</f>
        <v>2</v>
      </c>
      <c r="CM619" s="329" t="n">
        <f aca="false">CM618+IF(AND(CI619&lt;&gt;0,CK619&lt;&gt;0),1,0)</f>
        <v>1</v>
      </c>
      <c r="CN619" s="329" t="n">
        <f aca="false">IF($BY619&lt;=CL$627,MATCH($BY619,CL$617:CL$627,0))</f>
        <v>5</v>
      </c>
      <c r="CO619" s="329" t="n">
        <f aca="false">IF($BY619&lt;=CM$627,MATCH($BY619,CM$617:CM$627,0))</f>
        <v>0</v>
      </c>
    </row>
    <row r="620" customFormat="false" ht="12.75" hidden="false" customHeight="false" outlineLevel="0" collapsed="false">
      <c r="B620" s="279" t="n">
        <v>1</v>
      </c>
      <c r="C620" s="67" t="str">
        <f aca="false">IF(Circle1&gt;=$B620,HLOOKUP(Discipline1,talentfordisc,1+BY621,0)," ")</f>
        <v>Tracking (D)</v>
      </c>
      <c r="D620" s="67" t="str">
        <f aca="false">IF(RIGHT(C620, 3)="(D)",LEFT(C620,LEN(C620)-4),C620)</f>
        <v>Tracking</v>
      </c>
      <c r="E620" s="64" t="n">
        <f aca="false">F21</f>
        <v>8</v>
      </c>
      <c r="F620" s="182" t="n">
        <f aca="true">OFFSET(Cost_1_4,E620,0)</f>
        <v>8700</v>
      </c>
      <c r="G620" s="64" t="n">
        <f aca="false">IF(C620&lt;&gt;" ",MATCH(D620,Talents!B$3:B$345,1),0)</f>
        <v>305</v>
      </c>
      <c r="H620" s="64" t="str">
        <f aca="true">IF(G620=0," ",OFFSET(Talents!C$2,G620,0))</f>
        <v>P</v>
      </c>
      <c r="I620" s="64" t="n">
        <f aca="false">IF(E620&gt;0,G21,0)</f>
        <v>0</v>
      </c>
      <c r="J620" s="64" t="n">
        <f aca="false">IF(H620&lt;&gt;" ",E620+VLOOKUP(H620,G$597:L$603,6,0)+I620," ")</f>
        <v>15</v>
      </c>
      <c r="K620" s="64" t="str">
        <f aca="true">IF(J620&lt;&gt;" ",OFFSET(ActionDice,J620,0),"-")</f>
        <v>d12 +2d6</v>
      </c>
      <c r="L620" s="67" t="n">
        <f aca="false">OR(RIGHT(C620, 3)="(D)", NOT(ISERROR(MATCH(D620&amp;" (D)", C$657:C$697, 0))))</f>
        <v>1</v>
      </c>
      <c r="M620" s="64" t="str">
        <f aca="true">IF(G620&gt;0,IF(L620,"D",OFFSET(Talents!D$2,G620,0))&amp;OFFSET(Talents!E$2,G620,0)," ")</f>
        <v>D/A/1</v>
      </c>
      <c r="N620" s="64" t="n">
        <f aca="false">AND(I21="",C620&lt;&gt;" ")</f>
        <v>1</v>
      </c>
      <c r="O620" s="300" t="n">
        <f aca="false">O619+IF(N619,1,0)</f>
        <v>4</v>
      </c>
      <c r="P620" s="324" t="n">
        <f aca="false">IF(Build!$BY620&lt;=Build!P$615,MATCH(Build!$BY620,Build!O$617:O$714,0))</f>
        <v>4</v>
      </c>
      <c r="Q620" s="112" t="n">
        <f aca="false">Q619+IF(E193&lt;&gt;"",1,0)</f>
        <v>0</v>
      </c>
      <c r="R620" s="324" t="n">
        <f aca="false">IF($BY620&lt;=R$615,MATCH($BY620,Q$617:Q$660,0))</f>
        <v>0</v>
      </c>
      <c r="S620" s="112" t="n">
        <f aca="false">S619+IF(E118&lt;&gt;"",1,0)</f>
        <v>0</v>
      </c>
      <c r="T620" s="112" t="n">
        <f aca="false">IF($BY620&lt;=T$615,MATCH($BY620,S$617:S$686,0))</f>
        <v>0</v>
      </c>
      <c r="U620" s="300" t="n">
        <f aca="false">U619+IF(B396&lt;&gt;"",1,0)</f>
        <v>0</v>
      </c>
      <c r="V620" s="112" t="n">
        <f aca="false">V619+IF(B428&lt;&gt;"",1,0)</f>
        <v>0</v>
      </c>
      <c r="W620" s="112" t="n">
        <f aca="false">W619+IF(B460&lt;&gt;"",1,0)</f>
        <v>0</v>
      </c>
      <c r="X620" s="112" t="n">
        <f aca="false">X619+IF(B492&lt;&gt;"",1,0)</f>
        <v>0</v>
      </c>
      <c r="Y620" s="112" t="n">
        <f aca="false">Y619+IF(B524&lt;&gt;"",1,0)</f>
        <v>0</v>
      </c>
      <c r="Z620" s="324" t="n">
        <f aca="false">IF(B556&lt;&gt;"",1,0)</f>
        <v>0</v>
      </c>
      <c r="AA620" s="300" t="n">
        <f aca="false">IF($BY620&lt;=U$615,MATCH($BY620,U$617:U$737,0))</f>
        <v>0</v>
      </c>
      <c r="AB620" s="112" t="n">
        <f aca="false">IF($BY620&lt;=V$615,MATCH($BY620,V$617:V$737,0))</f>
        <v>0</v>
      </c>
      <c r="AC620" s="112" t="n">
        <f aca="false">IF($BY620&lt;=W$615,MATCH($BY620,W$617:W$737,0))</f>
        <v>0</v>
      </c>
      <c r="AD620" s="112" t="n">
        <f aca="false">IF($BY620&lt;=X$615,MATCH($BY620,X$617:X$737,0))</f>
        <v>0</v>
      </c>
      <c r="AE620" s="112" t="n">
        <f aca="false">IF($BY620&lt;=Y$615,MATCH($BY620,Y$617:Y$737,0))</f>
        <v>0</v>
      </c>
      <c r="AF620" s="324" t="n">
        <f aca="false">IF($BY620&lt;=Z$615,MATCH($BY620,Z$617:Z$737,0))</f>
        <v>0</v>
      </c>
      <c r="AG620" s="325" t="str">
        <f aca="true">IF(AND(AA620&lt;="",AP11=""),OFFSET(Spells!H$2,AA620,0),"")</f>
        <v>Effect</v>
      </c>
      <c r="AH620" s="325" t="str">
        <f aca="true">IF(AND(AB620&lt;="",AP11=""),OFFSET(Spells!R$2,AB620,0),"")</f>
        <v>Effect</v>
      </c>
      <c r="AI620" s="325" t="str">
        <f aca="true">IF(AND(AC620&lt;="",AP11=""),OFFSET(Spells!AB$2,AC620,0),"")</f>
        <v>Effect</v>
      </c>
      <c r="AJ620" s="326" t="str">
        <f aca="true">IF(AND(AD620&lt;="",AP11=""),OFFSET(Spells!AL$2,AD620,0),"")</f>
        <v>Effect</v>
      </c>
      <c r="AK620" s="326" t="str">
        <f aca="true">IF(AND(AE620&lt;="",AP11=""),OFFSET(Spells!AV$2,AE620,0),"")</f>
        <v>Effect</v>
      </c>
      <c r="AL620" s="325" t="str">
        <f aca="true">IF(AND(AF620&lt;="",AP11=""),OFFSET(Spells!$H$2,AF620,0),"")</f>
        <v>Effect</v>
      </c>
      <c r="AM620" s="327" t="str">
        <f aca="false">B66</f>
        <v>Perception</v>
      </c>
      <c r="AN620" s="112" t="n">
        <f aca="false">D66</f>
        <v>0</v>
      </c>
      <c r="AO620" s="112" t="n">
        <f aca="true">OFFSET(Cost_9_12,AN620,0)</f>
        <v>0</v>
      </c>
      <c r="AP620" s="112" t="n">
        <f aca="false">AP619+IF(AN620&gt;0,1,0)</f>
        <v>0</v>
      </c>
      <c r="AQ620" s="324" t="n">
        <f aca="false">IF($BY620&lt;=AQ$615,MATCH($BY620,AP$617:AP$656,0))</f>
        <v>17</v>
      </c>
      <c r="AR620" s="327" t="str">
        <f aca="false">B84&amp;IF(H84&lt;&gt;""," ("&amp;H84&amp;")","")</f>
        <v>Barsaivian History</v>
      </c>
      <c r="AS620" s="112" t="n">
        <f aca="false">F84</f>
        <v>0</v>
      </c>
      <c r="AT620" s="112" t="n">
        <f aca="true">OFFSET(CostSkill,AS620,0)-OFFSET(CostSkill,E84,0)</f>
        <v>0</v>
      </c>
      <c r="AU620" s="112" t="str">
        <f aca="false">G84</f>
        <v>P</v>
      </c>
      <c r="AV620" s="112" t="n">
        <f aca="false">AV619+IF(AND(AR620&lt;&gt;" ",AS620&gt;0),1,0)</f>
        <v>0</v>
      </c>
      <c r="AW620" s="324" t="n">
        <f aca="false">IF($BY620&lt;=AW$615,MATCH(BY620,AV$617:AV$763,0))</f>
        <v>14</v>
      </c>
      <c r="AX620" s="327" t="s">
        <v>1095</v>
      </c>
      <c r="AY620" s="329" t="n">
        <f aca="false">MATCH(AX620,Talents!G$3:G$210)</f>
        <v>178</v>
      </c>
      <c r="AZ620" s="329" t="str">
        <f aca="true">IF(AY620,OFFSET(Talents!H$2,Build!AY620,0)," ")</f>
        <v>Thread Weaving*</v>
      </c>
      <c r="BA620" s="112" t="str">
        <f aca="true">IF(AY620,OFFSET(Talents!J$2,Build!AY620,0)," ")</f>
        <v>2+</v>
      </c>
      <c r="BB620" s="112" t="n">
        <f aca="true">IF(AY620,OFFSET(Talents!I$2,Build!AY620,0)," ")</f>
        <v>5</v>
      </c>
      <c r="BC620" s="112" t="n">
        <f aca="true">IF(AY620,OFFSET(Talents!K$2,Build!AY620,0)," ")</f>
        <v>2100</v>
      </c>
      <c r="BD620" s="112" t="n">
        <f aca="true">IF(AX$663=" ",OFFSET(E$615,MATCH(AZ620,D$616:D$656,0),0),IF(ISERROR(MATCH(AZ620,D$657:D$697,0)),OFFSET(E$615,MATCH(AZ620,D$616:D$656,0),0),IF(OFFSET(E$615,MATCH(AZ620,D$616:D$656,0),0)&gt;OFFSET(E$656,MATCH(AZ620,D$657:D$697,0),0),OFFSET(E$615,MATCH(AZ620,D$616:D$656,0),0),OFFSET(E$656,MATCH(AZ620,D$657:D$697,0),0))))</f>
        <v>6</v>
      </c>
      <c r="BE620" s="112" t="n">
        <f aca="false">BE619+IF(ISERROR(BD620), 0, IF(BD620&gt;=BB620, 1, 0))</f>
        <v>4</v>
      </c>
      <c r="BF620" s="324" t="n">
        <f aca="false">IF($BY620&lt;=BF$615,MATCH(BY620,BE$617:BE$681,0))</f>
        <v>4</v>
      </c>
      <c r="BG620" s="112" t="n">
        <f aca="false">BG619+IF(AND(K39&lt;&gt;" ",N39&lt;&gt;""),1,0)</f>
        <v>0</v>
      </c>
      <c r="BH620" s="112" t="n">
        <f aca="false">IF($BY620&lt;=BH$615,MATCH(BY620,BG$617:BG$649,0))</f>
        <v>0</v>
      </c>
      <c r="BI620" s="324" t="n">
        <f aca="true">IF(BH620,OFFSET(Q$35,BH620,0),0)</f>
        <v>0</v>
      </c>
      <c r="BJ620" s="329" t="str">
        <f aca="false">IF(V193&lt;&gt;"",V193," ")</f>
        <v> </v>
      </c>
      <c r="BK620" s="112" t="n">
        <f aca="false">Y193</f>
        <v>0</v>
      </c>
      <c r="BL620" s="112" t="n">
        <f aca="false">BL619+IF(BJ620&lt;&gt;" ",BK620,0)</f>
        <v>0</v>
      </c>
      <c r="BM620" s="112" t="n">
        <v>0</v>
      </c>
      <c r="BN620" s="112" t="n">
        <f aca="false">BN619+IF(BJ620&lt;&gt;" ",BM620,0)</f>
        <v>0</v>
      </c>
      <c r="BO620" s="329" t="str">
        <f aca="false">BO621&amp;IF(BJ620&lt;&gt;" ",", "&amp;BJ620&amp;" ("&amp;BK620&amp;")","")</f>
        <v>, Karma (3), Horror Fend (3), Absorb Blow (2)</v>
      </c>
      <c r="BP620" s="327" t="n">
        <f aca="false">BP619+IF(BJ620&lt;&gt;" ",1,0)</f>
        <v>0</v>
      </c>
      <c r="BQ620" s="332" t="n">
        <f aca="false">IF($BY620&lt;=BP$626,MATCH($BY620,BP$617:BP$626,0))</f>
        <v>0</v>
      </c>
      <c r="BR620" s="329" t="s">
        <v>1096</v>
      </c>
      <c r="BS620" s="112" t="e">
        <f aca="false">MATCH(BR620,D$616:D$713,0)</f>
        <v>#N/A</v>
      </c>
      <c r="BT620" s="112" t="e">
        <f aca="true">OFFSET(E$615,BS620,0)+OFFSET(I$615,BS620,0)</f>
        <v>#N/A</v>
      </c>
      <c r="BU620" s="112" t="n">
        <f aca="false">BU619+IF(ISERROR(BT620),0,IF(BT620&gt;0,1,0))</f>
        <v>0</v>
      </c>
      <c r="BV620" s="112" t="n">
        <f aca="false">IF($BY620&lt;=BV$615,MATCH($BY620,BU$617:BU$649,0))</f>
        <v>0</v>
      </c>
      <c r="BW620" s="301" t="s">
        <v>1090</v>
      </c>
      <c r="BX620" s="301" t="e">
        <f aca="false">CHAR(64+BU620)&amp;": "&amp;BW620&amp;" ("&amp;BT620&amp;")"</f>
        <v>#N/A</v>
      </c>
      <c r="BY620" s="333" t="n">
        <f aca="false">BY619+1</f>
        <v>4</v>
      </c>
      <c r="BZ620" s="329" t="str">
        <f aca="false">B238</f>
        <v>Traveler's Robes</v>
      </c>
      <c r="CA620" s="112" t="n">
        <f aca="false">E238</f>
        <v>0</v>
      </c>
      <c r="CB620" s="112" t="n">
        <f aca="false">F238</f>
        <v>9</v>
      </c>
      <c r="CC620" s="112" t="s">
        <v>301</v>
      </c>
      <c r="CD620" s="329" t="e">
        <f aca="false">FIND(",",BZ620)</f>
        <v>#VALUE!</v>
      </c>
      <c r="CE620" s="329" t="str">
        <f aca="false">IF(ISERROR(CD620),BZ620,MID(BZ620,CD620+2,20)&amp;" "&amp;LEFT(BZ620,CD620-1))&amp;IF(ISERROR(VALUE(CA620)),"",IF(CA620&gt;1," ("&amp;CA620&amp;")",""))</f>
        <v>Traveler's Robes</v>
      </c>
      <c r="CF620" s="329" t="str">
        <f aca="false">IF(CC620=" "," ",IF(ISERROR(VALUE(CA620)),CC620,CA620*CC620))</f>
        <v> </v>
      </c>
      <c r="CG620" s="112" t="n">
        <f aca="false">CG619+IF(AND(BZ620&lt;&gt;0,CA620&lt;&gt;0),1,0)</f>
        <v>1</v>
      </c>
      <c r="CH620" s="112" t="n">
        <f aca="false">IF($BY620&lt;=CH$615,MATCH($BY620,CG$617:CG$863,0))</f>
        <v>36</v>
      </c>
      <c r="CI620" s="327" t="str">
        <f aca="false">AA193</f>
        <v>Obsidiman</v>
      </c>
      <c r="CJ620" s="334" t="n">
        <f aca="false">AD193</f>
        <v>0</v>
      </c>
      <c r="CK620" s="334" t="n">
        <f aca="false">AE193</f>
        <v>0</v>
      </c>
      <c r="CL620" s="329" t="n">
        <f aca="false">CL619+IF(AND(CI620&lt;&gt;0,CJ620&lt;&gt;0),1,0)</f>
        <v>2</v>
      </c>
      <c r="CM620" s="329" t="n">
        <f aca="false">CM619+IF(AND(CI620&lt;&gt;0,CK620&lt;&gt;0),1,0)</f>
        <v>1</v>
      </c>
      <c r="CN620" s="329" t="n">
        <f aca="false">IF($BY620&lt;=CL$627,MATCH($BY620,CL$617:CL$627,0))</f>
        <v>6</v>
      </c>
      <c r="CO620" s="329" t="n">
        <f aca="false">IF($BY620&lt;=CM$627,MATCH($BY620,CM$617:CM$627,0))</f>
        <v>0</v>
      </c>
    </row>
    <row r="621" customFormat="false" ht="12.75" hidden="false" customHeight="false" outlineLevel="0" collapsed="false">
      <c r="B621" s="279" t="n">
        <v>1</v>
      </c>
      <c r="C621" s="67" t="n">
        <f aca="false">IF(Circle1&gt;=$B621,HLOOKUP(Discipline1,talentfordisc,1+BY622,0)," ")</f>
        <v>0</v>
      </c>
      <c r="D621" s="67" t="n">
        <f aca="false">IF(RIGHT(C621, 3)="(D)",LEFT(C621,LEN(C621)-4),C621)</f>
        <v>0</v>
      </c>
      <c r="E621" s="64" t="n">
        <f aca="false">F22</f>
        <v>0</v>
      </c>
      <c r="F621" s="182" t="n">
        <f aca="true">OFFSET(Cost_1_4,E621,0)</f>
        <v>0</v>
      </c>
      <c r="G621" s="64" t="e">
        <f aca="false">IF(C621&lt;&gt;" ",MATCH(D621,Talents!B$3:B$345,1),0)</f>
        <v>#N/A</v>
      </c>
      <c r="H621" s="64" t="e">
        <f aca="true">IF(G621=0," ",OFFSET(Talents!C$2,G621,0))</f>
        <v>#N/A</v>
      </c>
      <c r="I621" s="64" t="n">
        <f aca="false">IF(E621&gt;0,G22,0)</f>
        <v>0</v>
      </c>
      <c r="J621" s="64" t="e">
        <f aca="false">IF(H621&lt;&gt;" ",E621+VLOOKUP(H621,G$597:L$603,6,0)+I621," ")</f>
        <v>#N/A</v>
      </c>
      <c r="K621" s="64" t="e">
        <f aca="true">IF(J621&lt;&gt;" ",OFFSET(ActionDice,J621,0),"-")</f>
        <v>#N/A</v>
      </c>
      <c r="L621" s="67" t="n">
        <f aca="false">OR(RIGHT(C621, 3)="(D)", NOT(ISERROR(MATCH(D621&amp;" (D)", C$657:C$697, 0))))</f>
        <v>0</v>
      </c>
      <c r="M621" s="64" t="e">
        <f aca="true">IF(G621&gt;0,IF(L621,"D",OFFSET(Talents!D$2,G621,0))&amp;OFFSET(Talents!E$2,G621,0)," ")</f>
        <v>#N/A</v>
      </c>
      <c r="N621" s="64" t="n">
        <f aca="false">AND(I22="",C621&lt;&gt;" ")</f>
        <v>0</v>
      </c>
      <c r="O621" s="300" t="n">
        <f aca="false">O620+IF(N620,1,0)</f>
        <v>5</v>
      </c>
      <c r="P621" s="324" t="n">
        <f aca="false">IF(Build!$BY621&lt;=Build!P$615,MATCH(Build!$BY621,Build!O$617:O$714,0))</f>
        <v>5</v>
      </c>
      <c r="Q621" s="112" t="n">
        <f aca="false">Q620+IF(E194&lt;&gt;"",1,0)</f>
        <v>0</v>
      </c>
      <c r="R621" s="324"/>
      <c r="S621" s="112" t="n">
        <f aca="false">S620+IF(E119&lt;&gt;"",1,0)</f>
        <v>0</v>
      </c>
      <c r="T621" s="112" t="n">
        <f aca="false">IF($BY621&lt;=T$615,MATCH($BY621,S$617:S$686,0))</f>
        <v>0</v>
      </c>
      <c r="U621" s="300" t="n">
        <f aca="false">U620+IF(B397&lt;&gt;"",1,0)</f>
        <v>0</v>
      </c>
      <c r="V621" s="112" t="n">
        <f aca="false">V620+IF(B429&lt;&gt;"",1,0)</f>
        <v>0</v>
      </c>
      <c r="W621" s="112" t="n">
        <f aca="false">W620+IF(B461&lt;&gt;"",1,0)</f>
        <v>0</v>
      </c>
      <c r="X621" s="112" t="n">
        <f aca="false">X620+IF(B493&lt;&gt;"",1,0)</f>
        <v>0</v>
      </c>
      <c r="Y621" s="112" t="n">
        <f aca="false">Y620+IF(B525&lt;&gt;"",1,0)</f>
        <v>0</v>
      </c>
      <c r="Z621" s="324" t="n">
        <f aca="false">IF(B557&lt;&gt;"",1,0)</f>
        <v>0</v>
      </c>
      <c r="AA621" s="300" t="n">
        <f aca="false">IF($BY621&lt;=U$615,MATCH($BY621,U$617:U$737,0))</f>
        <v>0</v>
      </c>
      <c r="AB621" s="112" t="n">
        <f aca="false">IF($BY621&lt;=V$615,MATCH($BY621,V$617:V$737,0))</f>
        <v>0</v>
      </c>
      <c r="AC621" s="112" t="n">
        <f aca="false">IF($BY621&lt;=W$615,MATCH($BY621,W$617:W$737,0))</f>
        <v>0</v>
      </c>
      <c r="AD621" s="112" t="n">
        <f aca="false">IF($BY621&lt;=X$615,MATCH($BY621,X$617:X$737,0))</f>
        <v>0</v>
      </c>
      <c r="AE621" s="112" t="n">
        <f aca="false">IF($BY621&lt;=Y$615,MATCH($BY621,Y$617:Y$737,0))</f>
        <v>0</v>
      </c>
      <c r="AF621" s="324" t="n">
        <f aca="false">IF($BY621&lt;=Z$615,MATCH($BY621,Z$617:Z$737,0))</f>
        <v>0</v>
      </c>
      <c r="AG621" s="325" t="str">
        <f aca="true">IF(AND(AA621&lt;="",AP12=""),OFFSET(Spells!H$2,AA621,0),"")</f>
        <v>Effect</v>
      </c>
      <c r="AH621" s="325" t="str">
        <f aca="true">IF(AND(AB621&lt;="",AP12=""),OFFSET(Spells!R$2,AB621,0),"")</f>
        <v>Effect</v>
      </c>
      <c r="AI621" s="325" t="str">
        <f aca="true">IF(AND(AC621&lt;="",AP12=""),OFFSET(Spells!AB$2,AC621,0),"")</f>
        <v>Effect</v>
      </c>
      <c r="AJ621" s="326" t="str">
        <f aca="true">IF(AND(AD621&lt;="",AP12=""),OFFSET(Spells!AL$2,AD621,0),"")</f>
        <v>Effect</v>
      </c>
      <c r="AK621" s="326" t="str">
        <f aca="true">IF(AND(AE621&lt;="",AP12=""),OFFSET(Spells!AV$2,AE621,0),"")</f>
        <v>Effect</v>
      </c>
      <c r="AL621" s="325" t="str">
        <f aca="true">IF(AND(AF621&lt;="",AP12=""),OFFSET(Spells!$H$2,AF621,0),"")</f>
        <v>Effect</v>
      </c>
      <c r="AM621" s="327" t="str">
        <f aca="false">B67</f>
        <v>Willpower</v>
      </c>
      <c r="AN621" s="112" t="n">
        <f aca="false">D67</f>
        <v>0</v>
      </c>
      <c r="AO621" s="112" t="n">
        <f aca="true">OFFSET(Cost_9_12,AN621,0)</f>
        <v>0</v>
      </c>
      <c r="AP621" s="112" t="n">
        <f aca="false">AP620+IF(AN621&gt;0,1,0)</f>
        <v>0</v>
      </c>
      <c r="AQ621" s="324" t="n">
        <f aca="false">IF($BY621&lt;=AQ$615,MATCH($BY621,AP$617:AP$656,0))</f>
        <v>18</v>
      </c>
      <c r="AR621" s="327" t="str">
        <f aca="false">B85&amp;IF(H85&lt;&gt;""," ("&amp;H85&amp;")","")</f>
        <v>Botany</v>
      </c>
      <c r="AS621" s="112" t="n">
        <f aca="false">F85</f>
        <v>0</v>
      </c>
      <c r="AT621" s="112" t="n">
        <f aca="true">OFFSET(CostSkill,AS621,0)-OFFSET(CostSkill,E85,0)</f>
        <v>0</v>
      </c>
      <c r="AU621" s="112" t="str">
        <f aca="false">G85</f>
        <v>P</v>
      </c>
      <c r="AV621" s="112" t="n">
        <f aca="false">AV620+IF(AND(AR621&lt;&gt;" ",AS621&gt;0),1,0)</f>
        <v>0</v>
      </c>
      <c r="AW621" s="324" t="n">
        <f aca="false">IF($BY621&lt;=AW$615,MATCH(BY621,AV$617:AV$763,0))</f>
        <v>15</v>
      </c>
      <c r="AX621" s="327" t="str">
        <f aca="false">IF(Discipline1&lt;&gt;"",HLOOKUP(Discipline1,knackfordic,BY618)," ")</f>
        <v>Act on Instinct</v>
      </c>
      <c r="AY621" s="329" t="n">
        <f aca="false">MATCH(AX621,Talents!G$3:G$210)</f>
        <v>1</v>
      </c>
      <c r="AZ621" s="329" t="str">
        <f aca="true">IF(AY621,OFFSET(Talents!H$2,Build!AY621,0)," ")</f>
        <v>Trap Initiative</v>
      </c>
      <c r="BA621" s="112" t="n">
        <f aca="true">IF(AY621,OFFSET(Talents!J$2,Build!AY621,0)," ")</f>
        <v>2</v>
      </c>
      <c r="BB621" s="112" t="n">
        <f aca="true">IF(AY621,OFFSET(Talents!I$2,Build!AY621,0)," ")</f>
        <v>6</v>
      </c>
      <c r="BC621" s="112" t="n">
        <f aca="true">IF(AY621,OFFSET(Talents!K$2,Build!AY621,0)," ")</f>
        <v>3400</v>
      </c>
      <c r="BD621" s="112" t="e">
        <f aca="true">IF(AX$663=" ",OFFSET(E$615,MATCH(AZ621,D$616:D$656,0),0),IF(ISERROR(MATCH(AZ621,D$657:D$697,0)),OFFSET(E$615,MATCH(AZ621,D$616:D$656,0),0),IF(OFFSET(E$615,MATCH(AZ621,D$616:D$656,0),0)&gt;OFFSET(E$656,MATCH(AZ621,D$657:D$697,0),0),OFFSET(E$615,MATCH(AZ621,D$616:D$656,0),0),OFFSET(E$656,MATCH(AZ621,D$657:D$697,0),0))))</f>
        <v>#N/A</v>
      </c>
      <c r="BE621" s="112" t="n">
        <f aca="false">BE620+IF(ISERROR(BD621), 0, IF(BD621&gt;=BB621, 1, 0))</f>
        <v>4</v>
      </c>
      <c r="BF621" s="324" t="n">
        <f aca="false">IF($BY621&lt;=BF$615,MATCH(BY621,BE$617:BE$681,0))</f>
        <v>6</v>
      </c>
      <c r="BG621" s="112" t="n">
        <f aca="false">BG620+IF(AND(K40&lt;&gt;" ",N40&lt;&gt;""),1,0)</f>
        <v>0</v>
      </c>
      <c r="BH621" s="112" t="n">
        <f aca="false">IF($BY621&lt;=BH$615,MATCH(BY621,BG$617:BG$649,0))</f>
        <v>0</v>
      </c>
      <c r="BI621" s="324" t="n">
        <f aca="true">IF(BH621,OFFSET(Q$35,BH621,0),0)</f>
        <v>0</v>
      </c>
      <c r="BJ621" s="329" t="str">
        <f aca="false">IF(V194&lt;&gt;"",V194," ")</f>
        <v> </v>
      </c>
      <c r="BK621" s="112" t="n">
        <f aca="false">Y194</f>
        <v>0</v>
      </c>
      <c r="BL621" s="112" t="n">
        <f aca="false">BL620+IF(BJ621&lt;&gt;" ",BK621,0)</f>
        <v>0</v>
      </c>
      <c r="BM621" s="112" t="n">
        <v>0</v>
      </c>
      <c r="BN621" s="112" t="n">
        <f aca="false">BN620+IF(BJ621&lt;&gt;" ",BM621,0)</f>
        <v>0</v>
      </c>
      <c r="BO621" s="329" t="str">
        <f aca="false">BO622&amp;IF(BJ621&lt;&gt;" ",", "&amp;BJ621&amp;" ("&amp;BK621&amp;")","")</f>
        <v>, Karma (3), Horror Fend (3), Absorb Blow (2)</v>
      </c>
      <c r="BP621" s="327" t="n">
        <f aca="false">BP620+IF(BJ621&lt;&gt;" ",1,0)</f>
        <v>0</v>
      </c>
      <c r="BQ621" s="332" t="n">
        <f aca="false">IF($BY621&lt;=BP$626,MATCH($BY621,BP$617:BP$626,0))</f>
        <v>0</v>
      </c>
      <c r="BR621" s="329" t="s">
        <v>1097</v>
      </c>
      <c r="BS621" s="112" t="e">
        <f aca="false">MATCH(BR621,D$616:D$713,0)</f>
        <v>#N/A</v>
      </c>
      <c r="BT621" s="112" t="e">
        <f aca="true">OFFSET(E$615,BS621,0)+OFFSET(I$615,BS621,0)</f>
        <v>#N/A</v>
      </c>
      <c r="BU621" s="112" t="n">
        <f aca="false">BU620+IF(ISERROR(BT621),0,IF(BT621&gt;0,1,0))</f>
        <v>0</v>
      </c>
      <c r="BV621" s="112" t="n">
        <f aca="false">IF($BY621&lt;=BV$615,MATCH($BY621,BU$617:BU$649,0))</f>
        <v>0</v>
      </c>
      <c r="BW621" s="301" t="s">
        <v>1098</v>
      </c>
      <c r="BX621" s="301" t="e">
        <f aca="false">CHAR(64+BU621)&amp;": "&amp;BW621&amp;" ("&amp;BT621&amp;")"</f>
        <v>#N/A</v>
      </c>
      <c r="BY621" s="333" t="n">
        <f aca="false">BY620+1</f>
        <v>5</v>
      </c>
      <c r="BZ621" s="329" t="str">
        <f aca="false">B239</f>
        <v>Wealthy Traveler's Garb</v>
      </c>
      <c r="CA621" s="112" t="n">
        <f aca="false">E239</f>
        <v>0</v>
      </c>
      <c r="CB621" s="112" t="n">
        <f aca="false">F239</f>
        <v>40</v>
      </c>
      <c r="CC621" s="112" t="s">
        <v>301</v>
      </c>
      <c r="CD621" s="329" t="e">
        <f aca="false">FIND(",",BZ621)</f>
        <v>#VALUE!</v>
      </c>
      <c r="CE621" s="329" t="str">
        <f aca="false">IF(ISERROR(CD621),BZ621,MID(BZ621,CD621+2,20)&amp;" "&amp;LEFT(BZ621,CD621-1))&amp;IF(ISERROR(VALUE(CA621)),"",IF(CA621&gt;1," ("&amp;CA621&amp;")",""))</f>
        <v>Wealthy Traveler's Garb</v>
      </c>
      <c r="CF621" s="329" t="str">
        <f aca="false">IF(CC621=" "," ",IF(ISERROR(VALUE(CA621)),CC621,CA621*CC621))</f>
        <v> </v>
      </c>
      <c r="CG621" s="112" t="n">
        <f aca="false">CG620+IF(AND(BZ621&lt;&gt;0,CA621&lt;&gt;0),1,0)</f>
        <v>1</v>
      </c>
      <c r="CH621" s="112" t="n">
        <f aca="false">IF($BY621&lt;=CH$615,MATCH($BY621,CG$617:CG$863,0))</f>
        <v>50</v>
      </c>
      <c r="CI621" s="327" t="str">
        <f aca="false">AA194</f>
        <v>Or'zet (Ork)</v>
      </c>
      <c r="CJ621" s="334" t="str">
        <f aca="false">AD194</f>
        <v>X</v>
      </c>
      <c r="CK621" s="334" t="n">
        <f aca="false">AE194</f>
        <v>0</v>
      </c>
      <c r="CL621" s="329" t="n">
        <f aca="false">CL620+IF(AND(CI621&lt;&gt;0,CJ621&lt;&gt;0),1,0)</f>
        <v>3</v>
      </c>
      <c r="CM621" s="329" t="n">
        <f aca="false">CM620+IF(AND(CI621&lt;&gt;0,CK621&lt;&gt;0),1,0)</f>
        <v>1</v>
      </c>
      <c r="CN621" s="329" t="n">
        <f aca="false">IF($BY621&lt;=CL$627,MATCH($BY621,CL$617:CL$627,0))</f>
        <v>9</v>
      </c>
      <c r="CO621" s="329" t="n">
        <f aca="false">IF($BY621&lt;=CM$627,MATCH($BY621,CM$617:CM$627,0))</f>
        <v>0</v>
      </c>
    </row>
    <row r="622" customFormat="false" ht="12.75" hidden="false" customHeight="false" outlineLevel="0" collapsed="false">
      <c r="B622" s="279" t="n">
        <v>1</v>
      </c>
      <c r="C622" s="67" t="str">
        <f aca="false">AQ23</f>
        <v>Melee Weapons</v>
      </c>
      <c r="D622" s="67" t="str">
        <f aca="false">IF(RIGHT(C622, 3)="(D)",LEFT(C622,LEN(C622)-4),C622)</f>
        <v>Melee Weapons</v>
      </c>
      <c r="E622" s="64" t="n">
        <f aca="false">F23</f>
        <v>8</v>
      </c>
      <c r="F622" s="182" t="n">
        <f aca="true">OFFSET(Cost_1_4,E622,0)</f>
        <v>8700</v>
      </c>
      <c r="G622" s="64" t="n">
        <f aca="false">IF(C622&lt;&gt;" ",MATCH(D622,Talents!B$3:B$345,1),0)</f>
        <v>169</v>
      </c>
      <c r="H622" s="64" t="str">
        <f aca="true">IF(G622=0," ",OFFSET(Talents!C$2,G622,0))</f>
        <v>D</v>
      </c>
      <c r="I622" s="64" t="n">
        <f aca="false">IF(E622&gt;0,G23,0)</f>
        <v>0</v>
      </c>
      <c r="J622" s="64" t="n">
        <f aca="false">IF(H622&lt;&gt;" ",E622+VLOOKUP(H622,G$597:L$603,6,0)+I622," ")</f>
        <v>15</v>
      </c>
      <c r="K622" s="64" t="str">
        <f aca="true">IF(J622&lt;&gt;" ",OFFSET(ActionDice,J622,0),"-")</f>
        <v>d12 +2d6</v>
      </c>
      <c r="L622" s="67" t="n">
        <f aca="false">OR(RIGHT(C622, 3)="(D)", NOT(ISERROR(MATCH(D622&amp;" (D)", C$657:C$697, 0))))</f>
        <v>0</v>
      </c>
      <c r="M622" s="64" t="str">
        <f aca="true">IF(G622&gt;0,IF(L622,"D",OFFSET(Talents!D$2,G622,0))&amp;OFFSET(Talents!E$2,G622,0)," ")</f>
        <v>-/A/-</v>
      </c>
      <c r="N622" s="64" t="n">
        <f aca="false">AND(I23="",C622&lt;&gt;" ")</f>
        <v>1</v>
      </c>
      <c r="O622" s="300" t="n">
        <f aca="false">O621+IF(N621,1,0)</f>
        <v>5</v>
      </c>
      <c r="P622" s="324" t="n">
        <f aca="false">IF(Build!$BY622&lt;=Build!P$615,MATCH(Build!$BY622,Build!O$617:O$714,0))</f>
        <v>7</v>
      </c>
      <c r="Q622" s="112" t="n">
        <f aca="false">Q621+IF(E195&lt;&gt;"",1,0)</f>
        <v>0</v>
      </c>
      <c r="R622" s="324"/>
      <c r="S622" s="112" t="n">
        <f aca="false">S621+IF(E120&lt;&gt;"",1,0)</f>
        <v>0</v>
      </c>
      <c r="T622" s="112" t="n">
        <f aca="false">IF($BY622&lt;=T$615,MATCH($BY622,S$617:S$686,0))</f>
        <v>0</v>
      </c>
      <c r="U622" s="300" t="n">
        <f aca="false">U621+IF(B398&lt;&gt;"",1,0)</f>
        <v>0</v>
      </c>
      <c r="V622" s="112" t="n">
        <f aca="false">V621+IF(B430&lt;&gt;"",1,0)</f>
        <v>0</v>
      </c>
      <c r="W622" s="112" t="n">
        <f aca="false">W621+IF(B462&lt;&gt;"",1,0)</f>
        <v>0</v>
      </c>
      <c r="X622" s="112" t="n">
        <f aca="false">X621+IF(B494&lt;&gt;"",1,0)</f>
        <v>0</v>
      </c>
      <c r="Y622" s="112" t="n">
        <f aca="false">Y621+IF(B526&lt;&gt;"",1,0)</f>
        <v>0</v>
      </c>
      <c r="Z622" s="324" t="n">
        <f aca="false">IF(B558&lt;&gt;"",1,0)</f>
        <v>0</v>
      </c>
      <c r="AA622" s="300" t="n">
        <f aca="false">IF($BY622&lt;=U$615,MATCH($BY622,U$617:U$737,0))</f>
        <v>0</v>
      </c>
      <c r="AB622" s="112" t="n">
        <f aca="false">IF($BY622&lt;=V$615,MATCH($BY622,V$617:V$737,0))</f>
        <v>0</v>
      </c>
      <c r="AC622" s="112" t="n">
        <f aca="false">IF($BY622&lt;=W$615,MATCH($BY622,W$617:W$737,0))</f>
        <v>0</v>
      </c>
      <c r="AD622" s="112" t="n">
        <f aca="false">IF($BY622&lt;=X$615,MATCH($BY622,X$617:X$737,0))</f>
        <v>0</v>
      </c>
      <c r="AE622" s="112" t="n">
        <f aca="false">IF($BY622&lt;=Y$615,MATCH($BY622,Y$617:Y$737,0))</f>
        <v>0</v>
      </c>
      <c r="AF622" s="324" t="n">
        <f aca="false">IF($BY622&lt;=Z$615,MATCH($BY622,Z$617:Z$737,0))</f>
        <v>0</v>
      </c>
      <c r="AG622" s="325" t="str">
        <f aca="true">IF(AND(AA622&lt;="",AP13=""),OFFSET(Spells!H$2,AA622,0),"")</f>
        <v>Effect</v>
      </c>
      <c r="AH622" s="325" t="str">
        <f aca="true">IF(AND(AB622&lt;="",AP13=""),OFFSET(Spells!R$2,AB622,0),"")</f>
        <v>Effect</v>
      </c>
      <c r="AI622" s="325" t="str">
        <f aca="true">IF(AND(AC622&lt;="",AP13=""),OFFSET(Spells!AB$2,AC622,0),"")</f>
        <v>Effect</v>
      </c>
      <c r="AJ622" s="326" t="str">
        <f aca="true">IF(AND(AD622&lt;="",AP13=""),OFFSET(Spells!AL$2,AD622,0),"")</f>
        <v>Effect</v>
      </c>
      <c r="AK622" s="326" t="str">
        <f aca="true">IF(AND(AE622&lt;="",AP13=""),OFFSET(Spells!AV$2,AE622,0),"")</f>
        <v>Effect</v>
      </c>
      <c r="AL622" s="325" t="str">
        <f aca="true">IF(AND(AF622&lt;="",AP13=""),OFFSET(Spells!$H$2,AF622,0),"")</f>
        <v>Effect</v>
      </c>
      <c r="AM622" s="327" t="str">
        <f aca="false">B68</f>
        <v>Charisma</v>
      </c>
      <c r="AN622" s="112" t="n">
        <f aca="false">D68</f>
        <v>0</v>
      </c>
      <c r="AO622" s="112" t="n">
        <f aca="true">OFFSET(Cost_9_12,AN622,0)</f>
        <v>0</v>
      </c>
      <c r="AP622" s="112" t="n">
        <f aca="false">AP621+IF(AN622&gt;0,1,0)</f>
        <v>0</v>
      </c>
      <c r="AQ622" s="324" t="n">
        <f aca="false">IF($BY622&lt;=AQ$615,MATCH($BY622,AP$617:AP$656,0))</f>
        <v>0</v>
      </c>
      <c r="AR622" s="327" t="str">
        <f aca="false">B86&amp;IF(H86&lt;&gt;""," ("&amp;H86&amp;")","")</f>
        <v>Magical Creature Lore</v>
      </c>
      <c r="AS622" s="112" t="n">
        <f aca="false">F86</f>
        <v>1</v>
      </c>
      <c r="AT622" s="112" t="n">
        <f aca="true">OFFSET(CostSkill,AS622,0)-OFFSET(CostSkill,E86,0)</f>
        <v>200</v>
      </c>
      <c r="AU622" s="112" t="str">
        <f aca="false">G86</f>
        <v>P</v>
      </c>
      <c r="AV622" s="112" t="n">
        <f aca="false">AV621+IF(AND(AR622&lt;&gt;" ",AS622&gt;0),1,0)</f>
        <v>1</v>
      </c>
      <c r="AW622" s="324" t="n">
        <f aca="false">IF($BY622&lt;=AW$615,MATCH(BY622,AV$617:AV$763,0))</f>
        <v>20</v>
      </c>
      <c r="AX622" s="327" t="str">
        <f aca="false">IF(Discipline1&lt;&gt;"",HLOOKUP(Discipline1,knackfordic,BY619)," ")</f>
        <v>Adept's Best Friend</v>
      </c>
      <c r="AY622" s="329" t="n">
        <f aca="false">MATCH(AX622,Talents!G$3:G$210)</f>
        <v>2</v>
      </c>
      <c r="AZ622" s="329" t="str">
        <f aca="true">IF(AY622,OFFSET(Talents!H$2,Build!AY622,0)," ")</f>
        <v>Tracking</v>
      </c>
      <c r="BA622" s="112" t="n">
        <f aca="true">IF(AY622,OFFSET(Talents!J$2,Build!AY622,0)," ")</f>
        <v>3</v>
      </c>
      <c r="BB622" s="112" t="n">
        <f aca="true">IF(AY622,OFFSET(Talents!I$2,Build!AY622,0)," ")</f>
        <v>4</v>
      </c>
      <c r="BC622" s="112" t="n">
        <f aca="true">IF(AY622,OFFSET(Talents!K$2,Build!AY622,0)," ")</f>
        <v>1300</v>
      </c>
      <c r="BD622" s="112" t="n">
        <f aca="true">IF(AX$663=" ",OFFSET(E$615,MATCH(AZ622,D$616:D$656,0),0),IF(ISERROR(MATCH(AZ622,D$657:D$697,0)),OFFSET(E$615,MATCH(AZ622,D$616:D$656,0),0),IF(OFFSET(E$615,MATCH(AZ622,D$616:D$656,0),0)&gt;OFFSET(E$656,MATCH(AZ622,D$657:D$697,0),0),OFFSET(E$615,MATCH(AZ622,D$616:D$656,0),0),OFFSET(E$656,MATCH(AZ622,D$657:D$697,0),0))))</f>
        <v>8</v>
      </c>
      <c r="BE622" s="112" t="n">
        <f aca="false">BE621+IF(ISERROR(BD622), 0, IF(BD622&gt;=BB622, 1, 0))</f>
        <v>5</v>
      </c>
      <c r="BF622" s="324" t="n">
        <f aca="false">IF($BY622&lt;=BF$615,MATCH(BY622,BE$617:BE$681,0))</f>
        <v>7</v>
      </c>
      <c r="BG622" s="112" t="n">
        <f aca="false">BG621+IF(AND(K41&lt;&gt;" ",N41&lt;&gt;""),1,0)</f>
        <v>1</v>
      </c>
      <c r="BH622" s="112" t="n">
        <f aca="false">IF($BY622&lt;=BH$615,MATCH(BY622,BG$617:BG$649,0))</f>
        <v>0</v>
      </c>
      <c r="BI622" s="324" t="n">
        <f aca="true">IF(BH622,OFFSET(Q$35,BH622,0),0)</f>
        <v>0</v>
      </c>
      <c r="BJ622" s="329" t="str">
        <f aca="false">IF(V195&lt;&gt;"",V195," ")</f>
        <v> </v>
      </c>
      <c r="BK622" s="112" t="n">
        <f aca="false">Y195</f>
        <v>0</v>
      </c>
      <c r="BL622" s="112" t="n">
        <f aca="false">BL621+IF(BJ622&lt;&gt;" ",BK622,0)</f>
        <v>0</v>
      </c>
      <c r="BM622" s="112" t="n">
        <v>0</v>
      </c>
      <c r="BN622" s="112" t="n">
        <f aca="false">BN621+IF(BJ622&lt;&gt;" ",BM622,0)</f>
        <v>0</v>
      </c>
      <c r="BO622" s="329" t="str">
        <f aca="false">BO623&amp;IF(BJ622&lt;&gt;" ",", "&amp;BJ622&amp;" ("&amp;BK622&amp;")","")</f>
        <v>, Karma (3), Horror Fend (3), Absorb Blow (2)</v>
      </c>
      <c r="BP622" s="327" t="n">
        <f aca="false">BP621+IF(BJ622&lt;&gt;" ",1,0)</f>
        <v>0</v>
      </c>
      <c r="BQ622" s="332" t="n">
        <f aca="false">IF($BY622&lt;=BP$626,MATCH($BY622,BP$617:BP$626,0))</f>
        <v>0</v>
      </c>
      <c r="BR622" s="329" t="s">
        <v>1099</v>
      </c>
      <c r="BS622" s="112" t="e">
        <f aca="false">MATCH(BR622,D$616:D$713,0)</f>
        <v>#N/A</v>
      </c>
      <c r="BT622" s="112" t="e">
        <f aca="true">OFFSET(E$615,BS622,0)+OFFSET(I$615,BS622,0)</f>
        <v>#N/A</v>
      </c>
      <c r="BU622" s="112" t="n">
        <f aca="false">BU621+IF(ISERROR(BT622),0,IF(BT622&gt;0,1,0))</f>
        <v>0</v>
      </c>
      <c r="BV622" s="112" t="n">
        <f aca="false">IF($BY622&lt;=BV$615,MATCH($BY622,BU$617:BU$649,0))</f>
        <v>0</v>
      </c>
      <c r="BW622" s="301" t="s">
        <v>1098</v>
      </c>
      <c r="BX622" s="301" t="e">
        <f aca="false">CHAR(64+BU622)&amp;": "&amp;BW622&amp;" ("&amp;BT622&amp;")"</f>
        <v>#N/A</v>
      </c>
      <c r="BY622" s="333" t="n">
        <f aca="false">BY621+1</f>
        <v>6</v>
      </c>
      <c r="BZ622" s="329" t="str">
        <f aca="false">B240</f>
        <v>Wealthy Traveler's Robes</v>
      </c>
      <c r="CA622" s="112" t="n">
        <f aca="false">E240</f>
        <v>0</v>
      </c>
      <c r="CB622" s="112" t="n">
        <f aca="false">F240</f>
        <v>50</v>
      </c>
      <c r="CC622" s="112" t="s">
        <v>301</v>
      </c>
      <c r="CD622" s="329" t="e">
        <f aca="false">FIND(",",BZ622)</f>
        <v>#VALUE!</v>
      </c>
      <c r="CE622" s="329" t="str">
        <f aca="false">IF(ISERROR(CD622),BZ622,MID(BZ622,CD622+2,20)&amp;" "&amp;LEFT(BZ622,CD622-1))&amp;IF(ISERROR(VALUE(CA622)),"",IF(CA622&gt;1," ("&amp;CA622&amp;")",""))</f>
        <v>Wealthy Traveler's Robes</v>
      </c>
      <c r="CF622" s="329" t="str">
        <f aca="false">IF(CC622=" "," ",IF(ISERROR(VALUE(CA622)),CC622,CA622*CC622))</f>
        <v> </v>
      </c>
      <c r="CG622" s="112" t="n">
        <f aca="false">CG621+IF(AND(BZ622&lt;&gt;0,CA622&lt;&gt;0),1,0)</f>
        <v>1</v>
      </c>
      <c r="CH622" s="112" t="n">
        <f aca="false">IF($BY622&lt;=CH$615,MATCH($BY622,CG$617:CG$863,0))</f>
        <v>55</v>
      </c>
      <c r="CI622" s="327" t="str">
        <f aca="false">AA195</f>
        <v>T'skrang</v>
      </c>
      <c r="CJ622" s="334" t="str">
        <f aca="false">AD195</f>
        <v>X</v>
      </c>
      <c r="CK622" s="334" t="n">
        <f aca="false">AE195</f>
        <v>0</v>
      </c>
      <c r="CL622" s="329" t="n">
        <f aca="false">CL621+IF(AND(CI622&lt;&gt;0,CJ622&lt;&gt;0),1,0)</f>
        <v>4</v>
      </c>
      <c r="CM622" s="329" t="n">
        <f aca="false">CM621+IF(AND(CI622&lt;&gt;0,CK622&lt;&gt;0),1,0)</f>
        <v>1</v>
      </c>
      <c r="CN622" s="329" t="n">
        <f aca="false">IF($BY622&lt;=CL$627,MATCH($BY622,CL$617:CL$627,0))</f>
        <v>0</v>
      </c>
      <c r="CO622" s="329" t="n">
        <f aca="false">IF($BY622&lt;=CM$627,MATCH($BY622,CM$617:CM$627,0))</f>
        <v>0</v>
      </c>
    </row>
    <row r="623" customFormat="false" ht="12.75" hidden="false" customHeight="false" outlineLevel="0" collapsed="false">
      <c r="B623" s="279" t="n">
        <v>2</v>
      </c>
      <c r="C623" s="67" t="str">
        <f aca="false">IF(Circle1&gt;=$B623,HLOOKUP(Discipline1,talentfordisc,1+BY624,0)," ")</f>
        <v>Speak Language (D)</v>
      </c>
      <c r="D623" s="67" t="str">
        <f aca="false">IF(RIGHT(C623, 3)="(D)",LEFT(C623,LEN(C623)-4),C623)</f>
        <v>Speak Language</v>
      </c>
      <c r="E623" s="64" t="n">
        <f aca="false">F24</f>
        <v>4</v>
      </c>
      <c r="F623" s="182" t="n">
        <f aca="true">OFFSET(Cost_1_4,E623,0)</f>
        <v>1100</v>
      </c>
      <c r="G623" s="64" t="n">
        <f aca="false">IF(C623&lt;&gt;" ",MATCH(D623,Talents!B$3:B$345,1),0)</f>
        <v>239</v>
      </c>
      <c r="H623" s="64" t="str">
        <f aca="true">IF(G623=0," ",OFFSET(Talents!C$2,G623,0))</f>
        <v>P</v>
      </c>
      <c r="I623" s="64" t="n">
        <f aca="false">IF(E623&gt;0,G24,0)</f>
        <v>0</v>
      </c>
      <c r="J623" s="64" t="n">
        <f aca="false">IF(H623&lt;&gt;" ",E623+VLOOKUP(H623,G$597:L$603,6,0)+I623," ")</f>
        <v>11</v>
      </c>
      <c r="K623" s="64" t="str">
        <f aca="true">IF(J623&lt;&gt;" ",OFFSET(ActionDice,J623,0),"-")</f>
        <v>d10 + d8</v>
      </c>
      <c r="L623" s="67" t="n">
        <f aca="false">OR(RIGHT(C623, 3)="(D)", NOT(ISERROR(MATCH(D623&amp;" (D)", C$657:C$697, 0))))</f>
        <v>1</v>
      </c>
      <c r="M623" s="64" t="str">
        <f aca="true">IF(G623&gt;0,IF(L623,"D",OFFSET(Talents!D$2,G623,0))&amp;OFFSET(Talents!E$2,G623,0)," ")</f>
        <v>D/A/*</v>
      </c>
      <c r="N623" s="64" t="n">
        <f aca="false">AND(I24="",C623&lt;&gt;" ")</f>
        <v>1</v>
      </c>
      <c r="O623" s="300" t="n">
        <f aca="false">O622+IF(N622,1,0)</f>
        <v>6</v>
      </c>
      <c r="P623" s="324" t="n">
        <f aca="false">IF(Build!$BY623&lt;=Build!P$615,MATCH(Build!$BY623,Build!O$617:O$714,0))</f>
        <v>8</v>
      </c>
      <c r="Q623" s="112" t="n">
        <f aca="false">Q622+IF(E196&lt;&gt;"",1,0)</f>
        <v>0</v>
      </c>
      <c r="R623" s="324"/>
      <c r="S623" s="112" t="n">
        <f aca="false">S622+IF(E121&lt;&gt;"",1,0)</f>
        <v>0</v>
      </c>
      <c r="T623" s="112"/>
      <c r="U623" s="300" t="n">
        <f aca="false">U622+IF(B399&lt;&gt;"",1,0)</f>
        <v>0</v>
      </c>
      <c r="V623" s="112" t="n">
        <f aca="false">V622+IF(B431&lt;&gt;"",1,0)</f>
        <v>0</v>
      </c>
      <c r="W623" s="112" t="n">
        <f aca="false">W622+IF(B463&lt;&gt;"",1,0)</f>
        <v>0</v>
      </c>
      <c r="X623" s="112" t="n">
        <f aca="false">X622+IF(B495&lt;&gt;"",1,0)</f>
        <v>0</v>
      </c>
      <c r="Y623" s="112" t="n">
        <f aca="false">Y622+IF(B527&lt;&gt;"",1,0)</f>
        <v>0</v>
      </c>
      <c r="Z623" s="324" t="n">
        <f aca="false">IF(B559&lt;&gt;"",1,0)</f>
        <v>0</v>
      </c>
      <c r="AA623" s="300" t="n">
        <f aca="false">IF($BY623&lt;=U$615,MATCH($BY623,U$617:U$737,0))</f>
        <v>0</v>
      </c>
      <c r="AB623" s="112" t="n">
        <f aca="false">IF($BY623&lt;=V$615,MATCH($BY623,V$617:V$737,0))</f>
        <v>0</v>
      </c>
      <c r="AC623" s="112" t="n">
        <f aca="false">IF($BY623&lt;=W$615,MATCH($BY623,W$617:W$737,0))</f>
        <v>0</v>
      </c>
      <c r="AD623" s="112" t="n">
        <f aca="false">IF($BY623&lt;=X$615,MATCH($BY623,X$617:X$737,0))</f>
        <v>0</v>
      </c>
      <c r="AE623" s="112" t="n">
        <f aca="false">IF($BY623&lt;=Y$615,MATCH($BY623,Y$617:Y$737,0))</f>
        <v>0</v>
      </c>
      <c r="AF623" s="324" t="n">
        <f aca="false">IF($BY623&lt;=Z$615,MATCH($BY623,Z$617:Z$737,0))</f>
        <v>0</v>
      </c>
      <c r="AG623" s="325" t="str">
        <f aca="true">IF(AND(AA623&lt;="",AP14=""),OFFSET(Spells!H$2,AA623,0),"")</f>
        <v>Effect</v>
      </c>
      <c r="AH623" s="325" t="str">
        <f aca="true">IF(AND(AB623&lt;="",AP14=""),OFFSET(Spells!R$2,AB623,0),"")</f>
        <v>Effect</v>
      </c>
      <c r="AI623" s="325" t="str">
        <f aca="true">IF(AND(AC623&lt;="",AP14=""),OFFSET(Spells!AB$2,AC623,0),"")</f>
        <v>Effect</v>
      </c>
      <c r="AJ623" s="326" t="str">
        <f aca="true">IF(AND(AD623&lt;="",AP14=""),OFFSET(Spells!AL$2,AD623,0),"")</f>
        <v>Effect</v>
      </c>
      <c r="AK623" s="326" t="str">
        <f aca="true">IF(AND(AE623&lt;="",AP14=""),OFFSET(Spells!AV$2,AE623,0),"")</f>
        <v>Effect</v>
      </c>
      <c r="AL623" s="325" t="str">
        <f aca="true">IF(AND(AF623&lt;="",AP14=""),OFFSET(Spells!$H$2,AF623,0),"")</f>
        <v>Effect</v>
      </c>
      <c r="AM623" s="327" t="str">
        <f aca="false">B69</f>
        <v>Physical Def.</v>
      </c>
      <c r="AN623" s="112" t="n">
        <f aca="false">D69</f>
        <v>0</v>
      </c>
      <c r="AO623" s="112" t="n">
        <f aca="true">OFFSET(Cost_9_12,AN623,0)</f>
        <v>0</v>
      </c>
      <c r="AP623" s="112" t="n">
        <f aca="false">AP622+IF(AN623&gt;0,1,0)</f>
        <v>0</v>
      </c>
      <c r="AQ623" s="324" t="n">
        <f aca="false">IF($BY623&lt;=AQ$615,MATCH($BY623,AP$617:AP$656,0))</f>
        <v>0</v>
      </c>
      <c r="AR623" s="327" t="str">
        <f aca="false">B87&amp;IF(H87&lt;&gt;""," ("&amp;H87&amp;")","")</f>
        <v>Dwarven Military Orders</v>
      </c>
      <c r="AS623" s="112" t="n">
        <f aca="false">F87</f>
        <v>0</v>
      </c>
      <c r="AT623" s="112" t="n">
        <f aca="true">OFFSET(CostSkill,AS623,0)-OFFSET(CostSkill,E87,0)</f>
        <v>0</v>
      </c>
      <c r="AU623" s="112" t="str">
        <f aca="false">G87</f>
        <v>P</v>
      </c>
      <c r="AV623" s="112" t="n">
        <f aca="false">AV622+IF(AND(AR623&lt;&gt;" ",AS623&gt;0),1,0)</f>
        <v>1</v>
      </c>
      <c r="AW623" s="324" t="n">
        <f aca="false">IF($BY623&lt;=AW$615,MATCH(BY623,AV$617:AV$763,0))</f>
        <v>31</v>
      </c>
      <c r="AX623" s="327" t="str">
        <f aca="false">IF(Discipline1&lt;&gt;"",HLOOKUP(Discipline1,knackfordic,BY620)," ")</f>
        <v>Angelic Appearance</v>
      </c>
      <c r="AY623" s="329" t="n">
        <f aca="false">MATCH(AX623,Talents!G$3:G$210)</f>
        <v>7</v>
      </c>
      <c r="AZ623" s="329" t="str">
        <f aca="true">IF(AY623,OFFSET(Talents!H$2,Build!AY623,0)," ")</f>
        <v>Disguise Self</v>
      </c>
      <c r="BA623" s="112" t="n">
        <f aca="true">IF(AY623,OFFSET(Talents!J$2,Build!AY623,0)," ")</f>
        <v>1</v>
      </c>
      <c r="BB623" s="112" t="n">
        <f aca="true">IF(AY623,OFFSET(Talents!I$2,Build!AY623,0)," ")</f>
        <v>5</v>
      </c>
      <c r="BC623" s="112" t="n">
        <f aca="true">IF(AY623,OFFSET(Talents!K$2,Build!AY623,0)," ")</f>
        <v>2100</v>
      </c>
      <c r="BD623" s="112" t="n">
        <f aca="true">IF(AX$663=" ",OFFSET(E$615,MATCH(AZ623,D$616:D$656,0),0),IF(ISERROR(MATCH(AZ623,D$657:D$697,0)),OFFSET(E$615,MATCH(AZ623,D$616:D$656,0),0),IF(OFFSET(E$615,MATCH(AZ623,D$616:D$656,0),0)&gt;OFFSET(E$656,MATCH(AZ623,D$657:D$697,0),0),OFFSET(E$615,MATCH(AZ623,D$616:D$656,0),0),OFFSET(E$656,MATCH(AZ623,D$657:D$697,0),0))))</f>
        <v>8</v>
      </c>
      <c r="BE623" s="112" t="n">
        <f aca="false">BE622+IF(ISERROR(BD623), 0, IF(BD623&gt;=BB623, 1, 0))</f>
        <v>6</v>
      </c>
      <c r="BF623" s="324" t="n">
        <f aca="false">IF($BY623&lt;=BF$615,MATCH(BY623,BE$617:BE$681,0))</f>
        <v>8</v>
      </c>
      <c r="BG623" s="112" t="n">
        <f aca="false">BG622+IF(AND(K42&lt;&gt;" ",N42&lt;&gt;""),1,0)</f>
        <v>1</v>
      </c>
      <c r="BH623" s="112" t="n">
        <f aca="false">IF($BY623&lt;=BH$615,MATCH(BY623,BG$617:BG$649,0))</f>
        <v>0</v>
      </c>
      <c r="BI623" s="324" t="n">
        <f aca="true">IF(BH623,OFFSET(Q$35,BH623,0),0)</f>
        <v>0</v>
      </c>
      <c r="BJ623" s="329" t="str">
        <f aca="false">IF(V196&lt;&gt;"",V196," ")</f>
        <v> </v>
      </c>
      <c r="BK623" s="112" t="n">
        <f aca="false">Y196</f>
        <v>0</v>
      </c>
      <c r="BL623" s="112" t="n">
        <f aca="false">BL622+IF(BJ623&lt;&gt;" ",BK623,0)</f>
        <v>0</v>
      </c>
      <c r="BM623" s="112" t="n">
        <v>0</v>
      </c>
      <c r="BN623" s="112" t="n">
        <f aca="false">BN622+IF(BJ623&lt;&gt;" ",BM623,0)</f>
        <v>0</v>
      </c>
      <c r="BO623" s="329" t="str">
        <f aca="false">BO624&amp;IF(BJ623&lt;&gt;" ",", "&amp;BJ623&amp;" ("&amp;BK623&amp;")","")</f>
        <v>, Karma (3), Horror Fend (3), Absorb Blow (2)</v>
      </c>
      <c r="BP623" s="327" t="n">
        <f aca="false">BP622+IF(BJ623&lt;&gt;" ",1,0)</f>
        <v>0</v>
      </c>
      <c r="BQ623" s="332" t="n">
        <f aca="false">IF($BY623&lt;=BP$626,MATCH($BY623,BP$617:BP$626,0))</f>
        <v>0</v>
      </c>
      <c r="BR623" s="329" t="s">
        <v>1100</v>
      </c>
      <c r="BS623" s="112" t="e">
        <f aca="false">MATCH(BR623,D$616:D$713,0)</f>
        <v>#N/A</v>
      </c>
      <c r="BT623" s="112" t="e">
        <f aca="true">OFFSET(E$615,BS623,0)+OFFSET(I$615,BS623,0)</f>
        <v>#N/A</v>
      </c>
      <c r="BU623" s="112" t="n">
        <f aca="false">BU622+IF(ISERROR(BT623),0,IF(BT623&gt;0,1,0))</f>
        <v>0</v>
      </c>
      <c r="BV623" s="112" t="n">
        <f aca="false">IF($BY623&lt;=BV$615,MATCH($BY623,BU$617:BU$649,0))</f>
        <v>0</v>
      </c>
      <c r="BW623" s="301" t="s">
        <v>1101</v>
      </c>
      <c r="BX623" s="301" t="e">
        <f aca="false">CHAR(64+BU623)&amp;": "&amp;BW623&amp;" ("&amp;BT623&amp;")"</f>
        <v>#N/A</v>
      </c>
      <c r="BY623" s="333" t="n">
        <f aca="false">BY622+1</f>
        <v>7</v>
      </c>
      <c r="BZ623" s="329" t="str">
        <f aca="false">B241</f>
        <v>Belt</v>
      </c>
      <c r="CA623" s="112" t="n">
        <f aca="false">E241</f>
        <v>0</v>
      </c>
      <c r="CB623" s="112" t="n">
        <f aca="false">F241</f>
        <v>0.5</v>
      </c>
      <c r="CC623" s="112" t="s">
        <v>301</v>
      </c>
      <c r="CD623" s="329" t="e">
        <f aca="false">FIND(",",BZ623)</f>
        <v>#VALUE!</v>
      </c>
      <c r="CE623" s="329" t="str">
        <f aca="false">IF(ISERROR(CD623),BZ623,MID(BZ623,CD623+2,20)&amp;" "&amp;LEFT(BZ623,CD623-1))&amp;IF(ISERROR(VALUE(CA623)),"",IF(CA623&gt;1," ("&amp;CA623&amp;")",""))</f>
        <v>Belt</v>
      </c>
      <c r="CF623" s="329" t="str">
        <f aca="false">IF(CC623=" "," ",IF(ISERROR(VALUE(CA623)),CC623,CA623*CC623))</f>
        <v> </v>
      </c>
      <c r="CG623" s="112" t="n">
        <f aca="false">CG622+IF(AND(BZ623&lt;&gt;0,CA623&lt;&gt;0),1,0)</f>
        <v>1</v>
      </c>
      <c r="CH623" s="112" t="n">
        <f aca="false">IF($BY623&lt;=CH$615,MATCH($BY623,CG$617:CG$863,0))</f>
        <v>67</v>
      </c>
      <c r="CI623" s="327" t="str">
        <f aca="false">AA196</f>
        <v>Troll</v>
      </c>
      <c r="CJ623" s="334" t="n">
        <f aca="false">AD196</f>
        <v>0</v>
      </c>
      <c r="CK623" s="334" t="n">
        <f aca="false">AE196</f>
        <v>0</v>
      </c>
      <c r="CL623" s="329" t="n">
        <f aca="false">CL622+IF(AND(CI623&lt;&gt;0,CJ623&lt;&gt;0),1,0)</f>
        <v>4</v>
      </c>
      <c r="CM623" s="329" t="n">
        <f aca="false">CM622+IF(AND(CI623&lt;&gt;0,CK623&lt;&gt;0),1,0)</f>
        <v>1</v>
      </c>
      <c r="CN623" s="329" t="n">
        <f aca="false">IF($BY623&lt;=CL$627,MATCH($BY623,CL$617:CL$627,0))</f>
        <v>0</v>
      </c>
      <c r="CO623" s="329" t="n">
        <f aca="false">IF($BY623&lt;=CM$627,MATCH($BY623,CM$617:CM$627,0))</f>
        <v>0</v>
      </c>
    </row>
    <row r="624" customFormat="false" ht="12.75" hidden="false" customHeight="false" outlineLevel="0" collapsed="false">
      <c r="B624" s="279" t="n">
        <v>2</v>
      </c>
      <c r="C624" s="67" t="str">
        <f aca="false">AQ25</f>
        <v>Durability</v>
      </c>
      <c r="D624" s="67" t="str">
        <f aca="false">IF(RIGHT(C624, 3)="(D)",LEFT(C624,LEN(C624)-4),C624)</f>
        <v>Durability</v>
      </c>
      <c r="E624" s="64" t="n">
        <f aca="false">F25</f>
        <v>8</v>
      </c>
      <c r="F624" s="182" t="n">
        <f aca="true">OFFSET(Cost_1_4,E624,0)</f>
        <v>8700</v>
      </c>
      <c r="G624" s="64" t="n">
        <f aca="false">IF(C624&lt;&gt;" ",MATCH(D624,Talents!B$3:B$345,1),0)</f>
        <v>89</v>
      </c>
      <c r="H624" s="64" t="str">
        <f aca="true">IF(G624=0," ",OFFSET(Talents!C$2,G624,0))</f>
        <v> </v>
      </c>
      <c r="I624" s="64" t="n">
        <f aca="false">IF(E624&gt;0,G25,0)</f>
        <v>0</v>
      </c>
      <c r="J624" s="64" t="str">
        <f aca="false">IF(H624&lt;&gt;" ",E624+VLOOKUP(H624,G$597:L$603,6,0)+I624," ")</f>
        <v> </v>
      </c>
      <c r="K624" s="64" t="str">
        <f aca="true">IF(J624&lt;&gt;" ",OFFSET(ActionDice,J624,0),"-")</f>
        <v>-</v>
      </c>
      <c r="L624" s="67" t="n">
        <f aca="false">OR(RIGHT(C624, 3)="(D)", NOT(ISERROR(MATCH(D624&amp;" (D)", C$657:C$697, 0))))</f>
        <v>0</v>
      </c>
      <c r="M624" s="64" t="str">
        <f aca="true">IF(G624&gt;0,IF(L624,"D",OFFSET(Talents!D$2,G624,0))&amp;OFFSET(Talents!E$2,G624,0)," ")</f>
        <v>-/-/-</v>
      </c>
      <c r="N624" s="64" t="n">
        <f aca="false">AND(I25="",C624&lt;&gt;" ")</f>
        <v>1</v>
      </c>
      <c r="O624" s="300" t="n">
        <f aca="false">O623+IF(N623,1,0)</f>
        <v>7</v>
      </c>
      <c r="P624" s="324" t="n">
        <f aca="false">IF(Build!$BY624&lt;=Build!P$615,MATCH(Build!$BY624,Build!O$617:O$714,0))</f>
        <v>9</v>
      </c>
      <c r="Q624" s="112" t="n">
        <f aca="false">Q623+IF(E197&lt;&gt;"",1,0)</f>
        <v>0</v>
      </c>
      <c r="R624" s="324"/>
      <c r="S624" s="112" t="n">
        <f aca="false">S623+IF(E122&lt;&gt;"",1,0)</f>
        <v>0</v>
      </c>
      <c r="T624" s="112"/>
      <c r="U624" s="300" t="n">
        <f aca="false">U623+IF(B400&lt;&gt;"",1,0)</f>
        <v>0</v>
      </c>
      <c r="V624" s="112" t="n">
        <f aca="false">V623+IF(B432&lt;&gt;"",1,0)</f>
        <v>0</v>
      </c>
      <c r="W624" s="112" t="n">
        <f aca="false">W623+IF(B464&lt;&gt;"",1,0)</f>
        <v>0</v>
      </c>
      <c r="X624" s="112" t="n">
        <f aca="false">X623+IF(B496&lt;&gt;"",1,0)</f>
        <v>0</v>
      </c>
      <c r="Y624" s="112" t="n">
        <f aca="false">Y623+IF(B528&lt;&gt;"",1,0)</f>
        <v>0</v>
      </c>
      <c r="Z624" s="324" t="n">
        <f aca="false">IF(B560&lt;&gt;"",1,0)</f>
        <v>0</v>
      </c>
      <c r="AA624" s="300" t="n">
        <f aca="false">IF($BY624&lt;=U$615,MATCH($BY624,U$617:U$737,0))</f>
        <v>0</v>
      </c>
      <c r="AB624" s="112" t="n">
        <f aca="false">IF($BY624&lt;=V$615,MATCH($BY624,V$617:V$737,0))</f>
        <v>0</v>
      </c>
      <c r="AC624" s="112" t="n">
        <f aca="false">IF($BY624&lt;=W$615,MATCH($BY624,W$617:W$737,0))</f>
        <v>0</v>
      </c>
      <c r="AD624" s="112" t="n">
        <f aca="false">IF($BY624&lt;=X$615,MATCH($BY624,X$617:X$737,0))</f>
        <v>0</v>
      </c>
      <c r="AE624" s="112" t="n">
        <f aca="false">IF($BY624&lt;=Y$615,MATCH($BY624,Y$617:Y$737,0))</f>
        <v>0</v>
      </c>
      <c r="AF624" s="324" t="n">
        <f aca="false">IF($BY624&lt;=Z$615,MATCH($BY624,Z$617:Z$737,0))</f>
        <v>0</v>
      </c>
      <c r="AG624" s="325" t="str">
        <f aca="true">IF(AND(AA624&lt;="",AP15=""),OFFSET(Spells!H$2,AA624,0),"")</f>
        <v>Effect</v>
      </c>
      <c r="AH624" s="325" t="str">
        <f aca="true">IF(AND(AB624&lt;="",AP15=""),OFFSET(Spells!R$2,AB624,0),"")</f>
        <v>Effect</v>
      </c>
      <c r="AI624" s="325" t="str">
        <f aca="true">IF(AND(AC624&lt;="",AP15=""),OFFSET(Spells!AB$2,AC624,0),"")</f>
        <v>Effect</v>
      </c>
      <c r="AJ624" s="326" t="str">
        <f aca="true">IF(AND(AD624&lt;="",AP15=""),OFFSET(Spells!AL$2,AD624,0),"")</f>
        <v>Effect</v>
      </c>
      <c r="AK624" s="326" t="str">
        <f aca="true">IF(AND(AE624&lt;="",AP15=""),OFFSET(Spells!AV$2,AE624,0),"")</f>
        <v>Effect</v>
      </c>
      <c r="AL624" s="325" t="str">
        <f aca="true">IF(AND(AF624&lt;="",AP15=""),OFFSET(Spells!$H$2,AF624,0),"")</f>
        <v>Effect</v>
      </c>
      <c r="AM624" s="327" t="str">
        <f aca="false">B70</f>
        <v>Spell Defense</v>
      </c>
      <c r="AN624" s="112" t="n">
        <f aca="false">D70</f>
        <v>0</v>
      </c>
      <c r="AO624" s="112" t="n">
        <f aca="true">OFFSET(Cost_9_12,AN624,0)</f>
        <v>0</v>
      </c>
      <c r="AP624" s="112" t="n">
        <f aca="false">AP623+IF(AN624&gt;0,1,0)</f>
        <v>0</v>
      </c>
      <c r="AQ624" s="324" t="n">
        <f aca="false">IF($BY624&lt;=AQ$615,MATCH($BY624,AP$617:AP$656,0))</f>
        <v>0</v>
      </c>
      <c r="AR624" s="327" t="str">
        <f aca="false">B88&amp;IF(H88&lt;&gt;""," ("&amp;H88&amp;")","")</f>
        <v>Throal History</v>
      </c>
      <c r="AS624" s="112" t="n">
        <f aca="false">F88</f>
        <v>1</v>
      </c>
      <c r="AT624" s="112" t="n">
        <f aca="true">OFFSET(CostSkill,AS624,0)-OFFSET(CostSkill,E88,0)</f>
        <v>0</v>
      </c>
      <c r="AU624" s="112" t="str">
        <f aca="false">G88</f>
        <v>P</v>
      </c>
      <c r="AV624" s="112" t="n">
        <f aca="false">AV623+IF(AND(AR624&lt;&gt;" ",AS624&gt;0),1,0)</f>
        <v>2</v>
      </c>
      <c r="AW624" s="324" t="n">
        <f aca="false">IF($BY624&lt;=AW$615,MATCH(BY624,AV$617:AV$763,0))</f>
        <v>49</v>
      </c>
      <c r="AX624" s="327" t="str">
        <f aca="false">IF(Discipline1&lt;&gt;"",HLOOKUP(Discipline1,knackfordic,BY621)," ")</f>
        <v>Animal's Best Friend</v>
      </c>
      <c r="AY624" s="329" t="n">
        <f aca="false">MATCH(AX624,Talents!G$3:G$210)</f>
        <v>8</v>
      </c>
      <c r="AZ624" s="329" t="str">
        <f aca="true">IF(AY624,OFFSET(Talents!H$2,Build!AY624,0)," ")</f>
        <v>Tracking</v>
      </c>
      <c r="BA624" s="112" t="n">
        <f aca="true">IF(AY624,OFFSET(Talents!J$2,Build!AY624,0)," ")</f>
        <v>4</v>
      </c>
      <c r="BB624" s="112" t="n">
        <f aca="true">IF(AY624,OFFSET(Talents!I$2,Build!AY624,0)," ")</f>
        <v>4</v>
      </c>
      <c r="BC624" s="112" t="n">
        <f aca="true">IF(AY624,OFFSET(Talents!K$2,Build!AY624,0)," ")</f>
        <v>1300</v>
      </c>
      <c r="BD624" s="112" t="n">
        <f aca="true">IF(AX$663=" ",OFFSET(E$615,MATCH(AZ624,D$616:D$656,0),0),IF(ISERROR(MATCH(AZ624,D$657:D$697,0)),OFFSET(E$615,MATCH(AZ624,D$616:D$656,0),0),IF(OFFSET(E$615,MATCH(AZ624,D$616:D$656,0),0)&gt;OFFSET(E$656,MATCH(AZ624,D$657:D$697,0),0),OFFSET(E$615,MATCH(AZ624,D$616:D$656,0),0),OFFSET(E$656,MATCH(AZ624,D$657:D$697,0),0))))</f>
        <v>8</v>
      </c>
      <c r="BE624" s="112" t="n">
        <f aca="false">BE623+IF(ISERROR(BD624), 0, IF(BD624&gt;=BB624, 1, 0))</f>
        <v>7</v>
      </c>
      <c r="BF624" s="324" t="n">
        <f aca="false">IF($BY624&lt;=BF$615,MATCH(BY624,BE$617:BE$681,0))</f>
        <v>9</v>
      </c>
      <c r="BG624" s="112" t="n">
        <f aca="false">BG623+IF(AND(K43&lt;&gt;" ",N43&lt;&gt;""),1,0)</f>
        <v>1</v>
      </c>
      <c r="BH624" s="112" t="n">
        <f aca="false">IF($BY624&lt;=BH$615,MATCH(BY624,BG$617:BG$649,0))</f>
        <v>0</v>
      </c>
      <c r="BI624" s="324" t="n">
        <f aca="true">IF(BH624,OFFSET(Q$35,BH624,0),0)</f>
        <v>0</v>
      </c>
      <c r="BJ624" s="329" t="str">
        <f aca="false">IF(V197&lt;&gt;"",V197," ")</f>
        <v> </v>
      </c>
      <c r="BK624" s="112" t="n">
        <f aca="false">Y197</f>
        <v>0</v>
      </c>
      <c r="BL624" s="112" t="n">
        <f aca="false">BL623+IF(BJ624&lt;&gt;" ",BK624,0)</f>
        <v>0</v>
      </c>
      <c r="BM624" s="112" t="n">
        <v>0</v>
      </c>
      <c r="BN624" s="112" t="n">
        <f aca="false">BN623+IF(BJ624&lt;&gt;" ",BM624,0)</f>
        <v>0</v>
      </c>
      <c r="BO624" s="329" t="str">
        <f aca="false">BO625&amp;IF(BJ624&lt;&gt;" ",", "&amp;BJ624&amp;" ("&amp;BK624&amp;")","")</f>
        <v>, Karma (3), Horror Fend (3), Absorb Blow (2)</v>
      </c>
      <c r="BP624" s="327" t="n">
        <f aca="false">BP623+IF(BJ624&lt;&gt;" ",1,0)</f>
        <v>0</v>
      </c>
      <c r="BQ624" s="332" t="n">
        <f aca="false">IF($BY624&lt;=BP$626,MATCH($BY624,BP$617:BP$626,0))</f>
        <v>0</v>
      </c>
      <c r="BR624" s="329" t="s">
        <v>1102</v>
      </c>
      <c r="BS624" s="112" t="e">
        <f aca="false">MATCH(BR624,D$616:D$713,0)</f>
        <v>#N/A</v>
      </c>
      <c r="BT624" s="112" t="e">
        <f aca="true">OFFSET(E$615,BS624,0)+OFFSET(I$615,BS624,0)</f>
        <v>#N/A</v>
      </c>
      <c r="BU624" s="112" t="n">
        <f aca="false">BU623+IF(ISERROR(BT624),0,IF(BT624&gt;0,1,0))</f>
        <v>0</v>
      </c>
      <c r="BV624" s="112" t="n">
        <f aca="false">IF($BY624&lt;=BV$615,MATCH($BY624,BU$617:BU$649,0))</f>
        <v>0</v>
      </c>
      <c r="BW624" s="301" t="s">
        <v>1101</v>
      </c>
      <c r="BX624" s="301" t="e">
        <f aca="false">CHAR(64+BU624)&amp;": "&amp;BW624&amp;" ("&amp;BT624&amp;")"</f>
        <v>#N/A</v>
      </c>
      <c r="BY624" s="333" t="n">
        <f aca="false">BY623+1</f>
        <v>8</v>
      </c>
      <c r="BZ624" s="329" t="str">
        <f aca="false">B242</f>
        <v>Boots, Soft</v>
      </c>
      <c r="CA624" s="112" t="n">
        <f aca="false">E242</f>
        <v>0</v>
      </c>
      <c r="CB624" s="112" t="n">
        <f aca="false">F242</f>
        <v>1</v>
      </c>
      <c r="CC624" s="112" t="s">
        <v>301</v>
      </c>
      <c r="CD624" s="329" t="n">
        <f aca="false">FIND(",",BZ624)</f>
        <v>6</v>
      </c>
      <c r="CE624" s="329" t="str">
        <f aca="false">IF(ISERROR(CD624),BZ624,MID(BZ624,CD624+2,20)&amp;" "&amp;LEFT(BZ624,CD624-1))&amp;IF(ISERROR(VALUE(CA624)),"",IF(CA624&gt;1," ("&amp;CA624&amp;")",""))</f>
        <v>Soft Boots</v>
      </c>
      <c r="CF624" s="329" t="str">
        <f aca="false">IF(CC624=" "," ",IF(ISERROR(VALUE(CA624)),CC624,CA624*CC624))</f>
        <v> </v>
      </c>
      <c r="CG624" s="112" t="n">
        <f aca="false">CG623+IF(AND(BZ624&lt;&gt;0,CA624&lt;&gt;0),1,0)</f>
        <v>1</v>
      </c>
      <c r="CH624" s="112" t="n">
        <f aca="false">IF($BY624&lt;=CH$615,MATCH($BY624,CG$617:CG$863,0))</f>
        <v>68</v>
      </c>
      <c r="CI624" s="327" t="str">
        <f aca="false">AA197</f>
        <v>Windling</v>
      </c>
      <c r="CJ624" s="334" t="n">
        <f aca="false">AD197</f>
        <v>0</v>
      </c>
      <c r="CK624" s="334" t="n">
        <f aca="false">AE197</f>
        <v>0</v>
      </c>
      <c r="CL624" s="329" t="n">
        <f aca="false">CL623+IF(AND(CI624&lt;&gt;0,CJ624&lt;&gt;0),1,0)</f>
        <v>4</v>
      </c>
      <c r="CM624" s="329" t="n">
        <f aca="false">CM623+IF(AND(CI624&lt;&gt;0,CK624&lt;&gt;0),1,0)</f>
        <v>1</v>
      </c>
      <c r="CN624" s="329" t="n">
        <f aca="false">IF($BY624&lt;=CL$627,MATCH($BY624,CL$617:CL$627,0))</f>
        <v>0</v>
      </c>
      <c r="CO624" s="329" t="n">
        <f aca="false">IF($BY624&lt;=CM$627,MATCH($BY624,CM$617:CM$627,0))</f>
        <v>0</v>
      </c>
    </row>
    <row r="625" customFormat="false" ht="12.75" hidden="false" customHeight="false" outlineLevel="0" collapsed="false">
      <c r="B625" s="288" t="n">
        <v>2</v>
      </c>
      <c r="C625" s="67" t="n">
        <f aca="false">AQ26</f>
        <v>0</v>
      </c>
      <c r="D625" s="67" t="n">
        <f aca="false">IF(RIGHT(C625, 3)="(D)",LEFT(C625,LEN(C625)-4),C625)</f>
        <v>0</v>
      </c>
      <c r="E625" s="64" t="n">
        <f aca="false">F26</f>
        <v>0</v>
      </c>
      <c r="F625" s="182" t="n">
        <f aca="true">OFFSET(Cost_1_4,E625,0)</f>
        <v>0</v>
      </c>
      <c r="G625" s="64" t="e">
        <f aca="false">IF(C625&lt;&gt;" ",MATCH(D625,Talents!B$3:B$345,1),0)</f>
        <v>#N/A</v>
      </c>
      <c r="H625" s="64" t="e">
        <f aca="true">IF(G625=0," ",OFFSET(Talents!C$2,G625,0))</f>
        <v>#N/A</v>
      </c>
      <c r="I625" s="64" t="n">
        <f aca="false">IF(E625&gt;0,G26,0)</f>
        <v>0</v>
      </c>
      <c r="J625" s="64" t="e">
        <f aca="false">IF(H625&lt;&gt;" ",E625+VLOOKUP(H625,G$597:L$603,6,0)+I625," ")</f>
        <v>#N/A</v>
      </c>
      <c r="K625" s="64" t="e">
        <f aca="true">IF(J625&lt;&gt;" ",OFFSET(ActionDice,J625,0),"-")</f>
        <v>#N/A</v>
      </c>
      <c r="L625" s="67" t="n">
        <f aca="false">OR(RIGHT(C625, 3)="(D)", NOT(ISERROR(MATCH(D625&amp;" (D)", C$657:C$697, 0))))</f>
        <v>0</v>
      </c>
      <c r="M625" s="64" t="e">
        <f aca="true">IF(G625&gt;0,IF(L625,"D",OFFSET(Talents!D$2,G625,0))&amp;OFFSET(Talents!E$2,G625,0)," ")</f>
        <v>#N/A</v>
      </c>
      <c r="N625" s="64" t="n">
        <f aca="false">AND(I26="",C625&lt;&gt;" ")</f>
        <v>0</v>
      </c>
      <c r="O625" s="300" t="n">
        <f aca="false">O624+IF(N624,1,0)</f>
        <v>8</v>
      </c>
      <c r="P625" s="324" t="n">
        <f aca="false">IF(Build!$BY625&lt;=Build!P$615,MATCH(Build!$BY625,Build!O$617:O$714,0))</f>
        <v>11</v>
      </c>
      <c r="Q625" s="112" t="n">
        <f aca="false">Q624+IF(E198&lt;&gt;"",1,0)</f>
        <v>0</v>
      </c>
      <c r="R625" s="324"/>
      <c r="S625" s="112" t="n">
        <f aca="false">S624+IF(E123&lt;&gt;"",1,0)</f>
        <v>0</v>
      </c>
      <c r="T625" s="112"/>
      <c r="U625" s="300" t="n">
        <f aca="false">U624+IF(B401&lt;&gt;"",1,0)</f>
        <v>0</v>
      </c>
      <c r="V625" s="112" t="n">
        <f aca="false">V624+IF(B433&lt;&gt;"",1,0)</f>
        <v>0</v>
      </c>
      <c r="W625" s="112" t="n">
        <f aca="false">W624+IF(B465&lt;&gt;"",1,0)</f>
        <v>0</v>
      </c>
      <c r="X625" s="112" t="n">
        <f aca="false">X624+IF(B497&lt;&gt;"",1,0)</f>
        <v>0</v>
      </c>
      <c r="Y625" s="112" t="n">
        <f aca="false">Y624+IF(B529&lt;&gt;"",1,0)</f>
        <v>0</v>
      </c>
      <c r="Z625" s="324" t="n">
        <f aca="false">IF(B561&lt;&gt;"",1,0)</f>
        <v>0</v>
      </c>
      <c r="AA625" s="300" t="n">
        <f aca="false">IF($BY625&lt;=U$615,MATCH($BY625,U$617:U$737,0))</f>
        <v>0</v>
      </c>
      <c r="AB625" s="112" t="n">
        <f aca="false">IF($BY625&lt;=V$615,MATCH($BY625,V$617:V$737,0))</f>
        <v>0</v>
      </c>
      <c r="AC625" s="112" t="n">
        <f aca="false">IF($BY625&lt;=W$615,MATCH($BY625,W$617:W$737,0))</f>
        <v>0</v>
      </c>
      <c r="AD625" s="112" t="n">
        <f aca="false">IF($BY625&lt;=X$615,MATCH($BY625,X$617:X$737,0))</f>
        <v>0</v>
      </c>
      <c r="AE625" s="112" t="n">
        <f aca="false">IF($BY625&lt;=Y$615,MATCH($BY625,Y$617:Y$737,0))</f>
        <v>0</v>
      </c>
      <c r="AF625" s="324" t="n">
        <f aca="false">IF($BY625&lt;=Z$615,MATCH($BY625,Z$617:Z$737,0))</f>
        <v>0</v>
      </c>
      <c r="AG625" s="325" t="str">
        <f aca="true">IF(AND(AA625&lt;="",AP16=""),OFFSET(Spells!H$2,AA625,0),"")</f>
        <v>Effect</v>
      </c>
      <c r="AH625" s="325" t="str">
        <f aca="true">IF(AND(AB625&lt;="",AP16=""),OFFSET(Spells!R$2,AB625,0),"")</f>
        <v>Effect</v>
      </c>
      <c r="AI625" s="325" t="str">
        <f aca="true">IF(AND(AC625&lt;="",AP16=""),OFFSET(Spells!AB$2,AC625,0),"")</f>
        <v>Effect</v>
      </c>
      <c r="AJ625" s="326" t="str">
        <f aca="true">IF(AND(AD625&lt;="",AP16=""),OFFSET(Spells!AL$2,AD625,0),"")</f>
        <v>Effect</v>
      </c>
      <c r="AK625" s="326" t="str">
        <f aca="true">IF(AND(AE625&lt;="",AP16=""),OFFSET(Spells!AV$2,AE625,0),"")</f>
        <v>Effect</v>
      </c>
      <c r="AL625" s="325" t="str">
        <f aca="true">IF(AND(AF625&lt;="",AP16=""),OFFSET(Spells!$H$2,AF625,0),"")</f>
        <v>Effect</v>
      </c>
      <c r="AM625" s="327" t="str">
        <f aca="false">B71</f>
        <v>Social Defense</v>
      </c>
      <c r="AN625" s="112" t="n">
        <f aca="false">D71</f>
        <v>0</v>
      </c>
      <c r="AO625" s="112" t="n">
        <f aca="true">OFFSET(Cost_9_12,AN625,0)</f>
        <v>0</v>
      </c>
      <c r="AP625" s="112" t="n">
        <f aca="false">AP624+IF(AN625&gt;0,1,0)</f>
        <v>0</v>
      </c>
      <c r="AQ625" s="324" t="n">
        <f aca="false">IF($BY625&lt;=AQ$615,MATCH($BY625,AP$617:AP$656,0))</f>
        <v>0</v>
      </c>
      <c r="AR625" s="327" t="str">
        <f aca="false">B89&amp;IF(H89&lt;&gt;""," ("&amp;H89&amp;")","")</f>
        <v>Legends &amp; Heroes</v>
      </c>
      <c r="AS625" s="112" t="n">
        <f aca="false">F89</f>
        <v>0</v>
      </c>
      <c r="AT625" s="112" t="n">
        <f aca="true">OFFSET(CostSkill,AS625,0)-OFFSET(CostSkill,E89,0)</f>
        <v>0</v>
      </c>
      <c r="AU625" s="112" t="str">
        <f aca="false">G89</f>
        <v>P</v>
      </c>
      <c r="AV625" s="112" t="n">
        <f aca="false">AV624+IF(AND(AR625&lt;&gt;" ",AS625&gt;0),1,0)</f>
        <v>2</v>
      </c>
      <c r="AW625" s="324" t="n">
        <f aca="false">IF($BY625&lt;=AW$615,MATCH(BY625,AV$617:AV$763,0))</f>
        <v>58</v>
      </c>
      <c r="AX625" s="327" t="str">
        <f aca="false">IF(Discipline1&lt;&gt;"",HLOOKUP(Discipline1,knackfordic,BY622)," ")</f>
        <v>Armor Beater</v>
      </c>
      <c r="AY625" s="329" t="n">
        <f aca="false">MATCH(AX625,Talents!G$3:G$210)</f>
        <v>10</v>
      </c>
      <c r="AZ625" s="329" t="str">
        <f aca="true">IF(AY625,OFFSET(Talents!H$2,Build!AY625,0)," ")</f>
        <v>Melee Weapons</v>
      </c>
      <c r="BA625" s="112" t="n">
        <f aca="true">IF(AY625,OFFSET(Talents!J$2,Build!AY625,0)," ")</f>
        <v>3</v>
      </c>
      <c r="BB625" s="112" t="n">
        <f aca="true">IF(AY625,OFFSET(Talents!I$2,Build!AY625,0)," ")</f>
        <v>8</v>
      </c>
      <c r="BC625" s="112" t="n">
        <f aca="true">IF(AY625,OFFSET(Talents!K$2,Build!AY625,0)," ")</f>
        <v>8900</v>
      </c>
      <c r="BD625" s="112" t="n">
        <f aca="true">IF(AX$663=" ",OFFSET(E$615,MATCH(AZ625,D$616:D$656,0),0),IF(ISERROR(MATCH(AZ625,D$657:D$697,0)),OFFSET(E$615,MATCH(AZ625,D$616:D$656,0),0),IF(OFFSET(E$615,MATCH(AZ625,D$616:D$656,0),0)&gt;OFFSET(E$656,MATCH(AZ625,D$657:D$697,0),0),OFFSET(E$615,MATCH(AZ625,D$616:D$656,0),0),OFFSET(E$656,MATCH(AZ625,D$657:D$697,0),0))))</f>
        <v>8</v>
      </c>
      <c r="BE625" s="112" t="n">
        <f aca="false">BE624+IF(ISERROR(BD625), 0, IF(BD625&gt;=BB625, 1, 0))</f>
        <v>8</v>
      </c>
      <c r="BF625" s="324" t="n">
        <f aca="false">IF($BY625&lt;=BF$615,MATCH(BY625,BE$617:BE$681,0))</f>
        <v>11</v>
      </c>
      <c r="BG625" s="112" t="n">
        <f aca="false">BG624+IF(AND(K44&lt;&gt;" ",N44&lt;&gt;""),1,0)</f>
        <v>1</v>
      </c>
      <c r="BH625" s="112" t="n">
        <f aca="false">IF($BY625&lt;=BH$615,MATCH(BY625,BG$617:BG$649,0))</f>
        <v>0</v>
      </c>
      <c r="BI625" s="324" t="n">
        <f aca="true">IF(BH625,OFFSET(Q$35,BH625,0),0)</f>
        <v>0</v>
      </c>
      <c r="BJ625" s="329" t="str">
        <f aca="false">IF(V198&lt;&gt;"",V198," ")</f>
        <v> </v>
      </c>
      <c r="BK625" s="112" t="n">
        <f aca="false">Y198</f>
        <v>0</v>
      </c>
      <c r="BL625" s="112" t="n">
        <f aca="false">BL624+IF(BJ625&lt;&gt;" ",BK625,0)</f>
        <v>0</v>
      </c>
      <c r="BM625" s="112" t="n">
        <v>0</v>
      </c>
      <c r="BN625" s="112" t="n">
        <f aca="false">BN624+IF(BJ625&lt;&gt;" ",BM625,0)</f>
        <v>0</v>
      </c>
      <c r="BO625" s="329" t="str">
        <f aca="false">BO626&amp;IF(BJ625&lt;&gt;" ",", "&amp;BJ625&amp;" ("&amp;BK625&amp;")","")</f>
        <v>, Karma (3), Horror Fend (3), Absorb Blow (2)</v>
      </c>
      <c r="BP625" s="327" t="n">
        <f aca="false">BP624+IF(BJ625&lt;&gt;" ",1,0)</f>
        <v>0</v>
      </c>
      <c r="BQ625" s="332" t="n">
        <f aca="false">IF($BY625&lt;=BP$626,MATCH($BY625,BP$617:BP$626,0))</f>
        <v>0</v>
      </c>
      <c r="BR625" s="329" t="s">
        <v>1103</v>
      </c>
      <c r="BS625" s="112" t="e">
        <f aca="false">MATCH(BR625,D$616:D$713,0)</f>
        <v>#N/A</v>
      </c>
      <c r="BT625" s="112" t="e">
        <f aca="true">OFFSET(E$615,BS625,0)+OFFSET(I$615,BS625,0)</f>
        <v>#N/A</v>
      </c>
      <c r="BU625" s="112" t="n">
        <f aca="false">BU624+IF(ISERROR(BT625),0,IF(BT625&gt;0,1,0))</f>
        <v>0</v>
      </c>
      <c r="BV625" s="112" t="n">
        <f aca="false">IF($BY625&lt;=BV$615,MATCH($BY625,BU$617:BU$649,0))</f>
        <v>0</v>
      </c>
      <c r="BW625" s="301" t="s">
        <v>1101</v>
      </c>
      <c r="BX625" s="301" t="e">
        <f aca="false">CHAR(64+BU625)&amp;": "&amp;BW625&amp;" ("&amp;BT625&amp;")"</f>
        <v>#N/A</v>
      </c>
      <c r="BY625" s="333" t="n">
        <f aca="false">BY624+1</f>
        <v>9</v>
      </c>
      <c r="BZ625" s="329" t="str">
        <f aca="false">B243</f>
        <v>Boots, Riding</v>
      </c>
      <c r="CA625" s="112" t="n">
        <f aca="false">E243</f>
        <v>0</v>
      </c>
      <c r="CB625" s="112" t="n">
        <f aca="false">F243</f>
        <v>4</v>
      </c>
      <c r="CC625" s="112" t="s">
        <v>301</v>
      </c>
      <c r="CD625" s="329" t="n">
        <f aca="false">FIND(",",BZ625)</f>
        <v>6</v>
      </c>
      <c r="CE625" s="329" t="str">
        <f aca="false">IF(ISERROR(CD625),BZ625,MID(BZ625,CD625+2,20)&amp;" "&amp;LEFT(BZ625,CD625-1))&amp;IF(ISERROR(VALUE(CA625)),"",IF(CA625&gt;1," ("&amp;CA625&amp;")",""))</f>
        <v>Riding Boots</v>
      </c>
      <c r="CF625" s="329" t="str">
        <f aca="false">IF(CC625=" "," ",IF(ISERROR(VALUE(CA625)),CC625,CA625*CC625))</f>
        <v> </v>
      </c>
      <c r="CG625" s="112" t="n">
        <f aca="false">CG624+IF(AND(BZ625&lt;&gt;0,CA625&lt;&gt;0),1,0)</f>
        <v>1</v>
      </c>
      <c r="CH625" s="112" t="n">
        <f aca="false">IF($BY625&lt;=CH$615,MATCH($BY625,CG$617:CG$863,0))</f>
        <v>70</v>
      </c>
      <c r="CI625" s="327" t="str">
        <f aca="false">AA198</f>
        <v>Theran</v>
      </c>
      <c r="CJ625" s="334" t="str">
        <f aca="false">AD198</f>
        <v>X</v>
      </c>
      <c r="CK625" s="334" t="str">
        <f aca="false">AE198</f>
        <v>X</v>
      </c>
      <c r="CL625" s="329" t="n">
        <f aca="false">CL624+IF(AND(CI625&lt;&gt;0,CJ625&lt;&gt;0),1,0)</f>
        <v>5</v>
      </c>
      <c r="CM625" s="329" t="n">
        <f aca="false">CM624+IF(AND(CI625&lt;&gt;0,CK625&lt;&gt;0),1,0)</f>
        <v>2</v>
      </c>
      <c r="CN625" s="329" t="n">
        <f aca="false">IF($BY625&lt;=CL$627,MATCH($BY625,CL$617:CL$627,0))</f>
        <v>0</v>
      </c>
      <c r="CO625" s="329" t="n">
        <f aca="false">IF($BY625&lt;=CM$627,MATCH($BY625,CM$617:CM$627,0))</f>
        <v>0</v>
      </c>
    </row>
    <row r="626" customFormat="false" ht="12.75" hidden="false" customHeight="false" outlineLevel="0" collapsed="false">
      <c r="B626" s="279" t="n">
        <v>3</v>
      </c>
      <c r="C626" s="67" t="str">
        <f aca="false">IF(Circle1&gt;=$B626,HLOOKUP(Discipline1,talentfordisc,1+BY627,0)," ")</f>
        <v>Disguise Self (D)</v>
      </c>
      <c r="D626" s="67" t="str">
        <f aca="false">IF(RIGHT(C626, 3)="(D)",LEFT(C626,LEN(C626)-4),C626)</f>
        <v>Disguise Self</v>
      </c>
      <c r="E626" s="64" t="n">
        <f aca="false">F27</f>
        <v>8</v>
      </c>
      <c r="F626" s="182" t="n">
        <f aca="true">OFFSET(Cost_1_4,E626,0)</f>
        <v>8700</v>
      </c>
      <c r="G626" s="64" t="n">
        <f aca="false">IF(C626&lt;&gt;" ",MATCH(D626,Talents!B$3:B$345,1),0)</f>
        <v>82</v>
      </c>
      <c r="H626" s="64" t="str">
        <f aca="true">IF(G626=0," ",OFFSET(Talents!C$2,G626,0))</f>
        <v>P</v>
      </c>
      <c r="I626" s="64" t="n">
        <f aca="false">IF(E626&gt;0,G27,0)</f>
        <v>0</v>
      </c>
      <c r="J626" s="64" t="n">
        <f aca="false">IF(H626&lt;&gt;" ",E626+VLOOKUP(H626,G$597:L$603,6,0)+I626," ")</f>
        <v>15</v>
      </c>
      <c r="K626" s="64" t="str">
        <f aca="true">IF(J626&lt;&gt;" ",OFFSET(ActionDice,J626,0),"-")</f>
        <v>d12 +2d6</v>
      </c>
      <c r="L626" s="67" t="n">
        <f aca="false">OR(RIGHT(C626, 3)="(D)", NOT(ISERROR(MATCH(D626&amp;" (D)", C$657:C$697, 0))))</f>
        <v>1</v>
      </c>
      <c r="M626" s="64" t="str">
        <f aca="true">IF(G626&gt;0,IF(L626,"D",OFFSET(Talents!D$2,G626,0))&amp;OFFSET(Talents!E$2,G626,0)," ")</f>
        <v>D/A/-</v>
      </c>
      <c r="N626" s="64" t="n">
        <f aca="false">AND(I27="",C626&lt;&gt;" ")</f>
        <v>1</v>
      </c>
      <c r="O626" s="300" t="n">
        <f aca="false">O625+IF(N625,1,0)</f>
        <v>8</v>
      </c>
      <c r="P626" s="324" t="n">
        <f aca="false">IF(Build!$BY626&lt;=Build!P$615,MATCH(Build!$BY626,Build!O$617:O$714,0))</f>
        <v>12</v>
      </c>
      <c r="Q626" s="112" t="n">
        <f aca="false">Q625+IF(E199&lt;&gt;"",1,0)</f>
        <v>0</v>
      </c>
      <c r="R626" s="324"/>
      <c r="S626" s="112" t="n">
        <f aca="false">S625+IF(E124&lt;&gt;"",1,0)</f>
        <v>1</v>
      </c>
      <c r="T626" s="112"/>
      <c r="U626" s="300" t="n">
        <f aca="false">U625+IF(B402&lt;&gt;"",1,0)</f>
        <v>0</v>
      </c>
      <c r="V626" s="112" t="n">
        <f aca="false">V625+IF(B434&lt;&gt;"",1,0)</f>
        <v>0</v>
      </c>
      <c r="W626" s="112" t="n">
        <f aca="false">W625+IF(B466&lt;&gt;"",1,0)</f>
        <v>0</v>
      </c>
      <c r="X626" s="112" t="n">
        <f aca="false">X625+IF(B498&lt;&gt;"",1,0)</f>
        <v>0</v>
      </c>
      <c r="Y626" s="112" t="n">
        <f aca="false">Y625+IF(B530&lt;&gt;"",1,0)</f>
        <v>0</v>
      </c>
      <c r="Z626" s="324" t="n">
        <f aca="false">IF(B562&lt;&gt;"",1,0)</f>
        <v>0</v>
      </c>
      <c r="AA626" s="300" t="n">
        <f aca="false">IF($BY626&lt;=U$615,MATCH($BY626,U$617:U$737,0))</f>
        <v>0</v>
      </c>
      <c r="AB626" s="112" t="n">
        <f aca="false">IF($BY626&lt;=V$615,MATCH($BY626,V$617:V$737,0))</f>
        <v>0</v>
      </c>
      <c r="AC626" s="112" t="n">
        <f aca="false">IF($BY626&lt;=W$615,MATCH($BY626,W$617:W$737,0))</f>
        <v>0</v>
      </c>
      <c r="AD626" s="112" t="n">
        <f aca="false">IF($BY626&lt;=X$615,MATCH($BY626,X$617:X$737,0))</f>
        <v>0</v>
      </c>
      <c r="AE626" s="112" t="n">
        <f aca="false">IF($BY626&lt;=Y$615,MATCH($BY626,Y$617:Y$737,0))</f>
        <v>0</v>
      </c>
      <c r="AF626" s="324" t="n">
        <f aca="false">IF($BY626&lt;=Z$615,MATCH($BY626,Z$617:Z$737,0))</f>
        <v>0</v>
      </c>
      <c r="AG626" s="325" t="str">
        <f aca="true">IF(AND(AA626&lt;="",AP17=""),OFFSET(Spells!H$2,AA626,0),"")</f>
        <v>Effect</v>
      </c>
      <c r="AH626" s="325" t="str">
        <f aca="true">IF(AND(AB626&lt;="",AP17=""),OFFSET(Spells!R$2,AB626,0),"")</f>
        <v>Effect</v>
      </c>
      <c r="AI626" s="325" t="str">
        <f aca="true">IF(AND(AC626&lt;="",AP17=""),OFFSET(Spells!AB$2,AC626,0),"")</f>
        <v>Effect</v>
      </c>
      <c r="AJ626" s="326" t="str">
        <f aca="true">IF(AND(AD626&lt;="",AP17=""),OFFSET(Spells!AL$2,AD626,0),"")</f>
        <v>Effect</v>
      </c>
      <c r="AK626" s="326" t="str">
        <f aca="true">IF(AND(AE626&lt;="",AP17=""),OFFSET(Spells!AV$2,AE626,0),"")</f>
        <v>Effect</v>
      </c>
      <c r="AL626" s="325" t="str">
        <f aca="true">IF(AND(AF626&lt;="",AP17=""),OFFSET(Spells!$H$2,AF626,0),"")</f>
        <v>Effect</v>
      </c>
      <c r="AM626" s="327" t="str">
        <f aca="false">B72</f>
        <v>Mystic Armor</v>
      </c>
      <c r="AN626" s="112" t="n">
        <f aca="false">D72</f>
        <v>0</v>
      </c>
      <c r="AO626" s="112" t="n">
        <f aca="true">OFFSET(Cost_9_12,AN626,0)</f>
        <v>0</v>
      </c>
      <c r="AP626" s="112" t="n">
        <f aca="false">AP625+IF(AN626&gt;0,1,0)</f>
        <v>0</v>
      </c>
      <c r="AQ626" s="324" t="n">
        <f aca="false">IF($BY626&lt;=AQ$615,MATCH($BY626,AP$617:AP$656,0))</f>
        <v>0</v>
      </c>
      <c r="AR626" s="327" t="str">
        <f aca="false">B90&amp;IF(H90&lt;&gt;""," ("&amp;H90&amp;")","")</f>
        <v>Racial History</v>
      </c>
      <c r="AS626" s="112" t="n">
        <f aca="false">F90</f>
        <v>0</v>
      </c>
      <c r="AT626" s="112" t="n">
        <f aca="true">OFFSET(CostSkill,AS626,0)-OFFSET(CostSkill,E90,0)</f>
        <v>0</v>
      </c>
      <c r="AU626" s="112" t="str">
        <f aca="false">G90</f>
        <v>P</v>
      </c>
      <c r="AV626" s="112" t="n">
        <f aca="false">AV625+IF(AND(AR626&lt;&gt;" ",AS626&gt;0),1,0)</f>
        <v>2</v>
      </c>
      <c r="AW626" s="324" t="n">
        <f aca="false">IF($BY626&lt;=AW$615,MATCH(BY626,AV$617:AV$763,0))</f>
        <v>59</v>
      </c>
      <c r="AX626" s="327" t="str">
        <f aca="false">IF(Discipline1&lt;&gt;"",HLOOKUP(Discipline1,knackfordic,BY623)," ")</f>
        <v>Arrow Catch</v>
      </c>
      <c r="AY626" s="329" t="n">
        <f aca="false">MATCH(AX626,Talents!G$3:G$210)</f>
        <v>11</v>
      </c>
      <c r="AZ626" s="329" t="str">
        <f aca="true">IF(AY626,OFFSET(Talents!H$2,Build!AY626,0)," ")</f>
        <v>Avoid Blow</v>
      </c>
      <c r="BA626" s="112" t="n">
        <f aca="true">IF(AY626,OFFSET(Talents!J$2,Build!AY626,0)," ")</f>
        <v>2</v>
      </c>
      <c r="BB626" s="112" t="n">
        <f aca="true">IF(AY626,OFFSET(Talents!I$2,Build!AY626,0)," ")</f>
        <v>7</v>
      </c>
      <c r="BC626" s="112" t="n">
        <f aca="true">IF(AY626,OFFSET(Talents!K$2,Build!AY626,0)," ")</f>
        <v>5500</v>
      </c>
      <c r="BD626" s="112" t="e">
        <f aca="true">IF(AX$663=" ",OFFSET(E$615,MATCH(AZ626,D$616:D$656,0),0),IF(ISERROR(MATCH(AZ626,D$657:D$697,0)),OFFSET(E$615,MATCH(AZ626,D$616:D$656,0),0),IF(OFFSET(E$615,MATCH(AZ626,D$616:D$656,0),0)&gt;OFFSET(E$656,MATCH(AZ626,D$657:D$697,0),0),OFFSET(E$615,MATCH(AZ626,D$616:D$656,0),0),OFFSET(E$656,MATCH(AZ626,D$657:D$697,0),0))))</f>
        <v>#N/A</v>
      </c>
      <c r="BE626" s="112" t="n">
        <f aca="false">BE625+IF(ISERROR(BD626), 0, IF(BD626&gt;=BB626, 1, 0))</f>
        <v>8</v>
      </c>
      <c r="BF626" s="324" t="n">
        <f aca="false">IF($BY626&lt;=BF$615,MATCH(BY626,BE$617:BE$681,0))</f>
        <v>14</v>
      </c>
      <c r="BG626" s="112" t="n">
        <f aca="false">BG625+IF(AND(K45&lt;&gt;" ",N45&lt;&gt;""),1,0)</f>
        <v>1</v>
      </c>
      <c r="BH626" s="112" t="n">
        <f aca="false">IF($BY626&lt;=BH$615,MATCH(BY626,BG$617:BG$649,0))</f>
        <v>0</v>
      </c>
      <c r="BI626" s="324" t="n">
        <f aca="true">IF(BH626,OFFSET(Q$35,BH626,0),0)</f>
        <v>0</v>
      </c>
      <c r="BJ626" s="329" t="str">
        <f aca="false">IF(V199&lt;&gt;"",V199," ")</f>
        <v> </v>
      </c>
      <c r="BK626" s="112" t="n">
        <f aca="false">Y199</f>
        <v>0</v>
      </c>
      <c r="BL626" s="112" t="n">
        <f aca="false">BL625+IF(BJ626&lt;&gt;" ",BK626,0)</f>
        <v>0</v>
      </c>
      <c r="BM626" s="112" t="n">
        <v>0</v>
      </c>
      <c r="BN626" s="112" t="n">
        <f aca="false">BN625+IF(BJ626&lt;&gt;" ",BM626,0)</f>
        <v>0</v>
      </c>
      <c r="BO626" s="329" t="str">
        <f aca="false">BO627&amp;IF(BJ626&lt;&gt;" ",", "&amp;BJ626&amp;" ("&amp;BK626&amp;")","")</f>
        <v>, Karma (3), Horror Fend (3), Absorb Blow (2)</v>
      </c>
      <c r="BP626" s="327" t="n">
        <f aca="false">BP625+IF(BJ626&lt;&gt;" ",1,0)</f>
        <v>0</v>
      </c>
      <c r="BQ626" s="332" t="n">
        <f aca="false">IF($BY626&lt;=BP$626,MATCH($BY626,BP$617:BP$626,0))</f>
        <v>0</v>
      </c>
      <c r="BR626" s="329" t="s">
        <v>1104</v>
      </c>
      <c r="BS626" s="112" t="e">
        <f aca="false">MATCH(BR626,D$616:D$713,0)</f>
        <v>#N/A</v>
      </c>
      <c r="BT626" s="112" t="e">
        <f aca="true">OFFSET(E$615,BS626,0)+OFFSET(I$615,BS626,0)</f>
        <v>#N/A</v>
      </c>
      <c r="BU626" s="112" t="n">
        <f aca="false">BU625+IF(ISERROR(BT626),0,IF(BT626&gt;0,1,0))</f>
        <v>0</v>
      </c>
      <c r="BV626" s="112" t="n">
        <f aca="false">IF($BY626&lt;=BV$615,MATCH($BY626,BU$617:BU$649,0))</f>
        <v>0</v>
      </c>
      <c r="BW626" s="301" t="s">
        <v>1105</v>
      </c>
      <c r="BX626" s="301" t="e">
        <f aca="false">CHAR(64+BU626)&amp;": "&amp;BW626&amp;" ("&amp;BT626&amp;")"</f>
        <v>#N/A</v>
      </c>
      <c r="BY626" s="333" t="n">
        <f aca="false">BY625+1</f>
        <v>10</v>
      </c>
      <c r="BZ626" s="329" t="str">
        <f aca="false">B244</f>
        <v>Boots, Mountain</v>
      </c>
      <c r="CA626" s="112" t="n">
        <f aca="false">E244</f>
        <v>0</v>
      </c>
      <c r="CB626" s="112" t="n">
        <f aca="false">F244</f>
        <v>8</v>
      </c>
      <c r="CC626" s="112" t="s">
        <v>301</v>
      </c>
      <c r="CD626" s="329" t="n">
        <f aca="false">FIND(",",BZ626)</f>
        <v>6</v>
      </c>
      <c r="CE626" s="329" t="str">
        <f aca="false">IF(ISERROR(CD626),BZ626,MID(BZ626,CD626+2,20)&amp;" "&amp;LEFT(BZ626,CD626-1))&amp;IF(ISERROR(VALUE(CA626)),"",IF(CA626&gt;1," ("&amp;CA626&amp;")",""))</f>
        <v>Mountain Boots</v>
      </c>
      <c r="CF626" s="329" t="str">
        <f aca="false">IF(CC626=" "," ",IF(ISERROR(VALUE(CA626)),CC626,CA626*CC626))</f>
        <v> </v>
      </c>
      <c r="CG626" s="112" t="n">
        <f aca="false">CG625+IF(AND(BZ626&lt;&gt;0,CA626&lt;&gt;0),1,0)</f>
        <v>1</v>
      </c>
      <c r="CH626" s="112" t="n">
        <f aca="false">IF($BY626&lt;=CH$615,MATCH($BY626,CG$617:CG$863,0))</f>
        <v>77</v>
      </c>
      <c r="CI626" s="327" t="n">
        <f aca="false">AA199</f>
        <v>0</v>
      </c>
      <c r="CJ626" s="334" t="n">
        <f aca="false">AD199</f>
        <v>0</v>
      </c>
      <c r="CK626" s="334" t="n">
        <f aca="false">AE199</f>
        <v>0</v>
      </c>
      <c r="CL626" s="329" t="n">
        <f aca="false">CL625+IF(AND(CI626&lt;&gt;0,CJ626&lt;&gt;0),1,0)</f>
        <v>5</v>
      </c>
      <c r="CM626" s="329" t="n">
        <f aca="false">CM625+IF(AND(CI626&lt;&gt;0,CK626&lt;&gt;0),1,0)</f>
        <v>2</v>
      </c>
      <c r="CN626" s="329" t="n">
        <f aca="false">IF($BY626&lt;=CL$627,MATCH($BY626,CL$617:CL$627,0))</f>
        <v>0</v>
      </c>
      <c r="CO626" s="329" t="n">
        <f aca="false">IF($BY626&lt;=CM$627,MATCH($BY626,CM$617:CM$627,0))</f>
        <v>0</v>
      </c>
    </row>
    <row r="627" customFormat="false" ht="12.75" hidden="false" customHeight="false" outlineLevel="0" collapsed="false">
      <c r="B627" s="279" t="n">
        <v>3</v>
      </c>
      <c r="C627" s="67" t="str">
        <f aca="false">AQ28</f>
        <v>Detect Trap</v>
      </c>
      <c r="D627" s="67" t="str">
        <f aca="false">IF(RIGHT(C627, 3)="(D)",LEFT(C627,LEN(C627)-4),C627)</f>
        <v>Detect Trap</v>
      </c>
      <c r="E627" s="64" t="n">
        <f aca="false">F28</f>
        <v>8</v>
      </c>
      <c r="F627" s="182" t="n">
        <f aca="true">OFFSET(Cost_1_4,E627,0)</f>
        <v>8700</v>
      </c>
      <c r="G627" s="64" t="n">
        <f aca="false">IF(C627&lt;&gt;" ",MATCH(D627,Talents!B$3:B$345,1),0)</f>
        <v>74</v>
      </c>
      <c r="H627" s="64" t="str">
        <f aca="true">IF(G627=0," ",OFFSET(Talents!C$2,G627,0))</f>
        <v>P</v>
      </c>
      <c r="I627" s="64" t="n">
        <f aca="false">IF(E627&gt;0,G28,0)</f>
        <v>1</v>
      </c>
      <c r="J627" s="64" t="n">
        <f aca="false">IF(H627&lt;&gt;" ",E627+VLOOKUP(H627,G$597:L$603,6,0)+I627," ")</f>
        <v>16</v>
      </c>
      <c r="K627" s="64" t="str">
        <f aca="true">IF(J627&lt;&gt;" ",OFFSET(ActionDice,J627,0),"-")</f>
        <v>d12 +d8 + d6</v>
      </c>
      <c r="L627" s="67" t="n">
        <f aca="false">OR(RIGHT(C627, 3)="(D)", NOT(ISERROR(MATCH(D627&amp;" (D)", C$657:C$697, 0))))</f>
        <v>0</v>
      </c>
      <c r="M627" s="64" t="str">
        <f aca="true">IF(G627&gt;0,IF(L627,"D",OFFSET(Talents!D$2,G627,0))&amp;OFFSET(Talents!E$2,G627,0)," ")</f>
        <v>-/A/1</v>
      </c>
      <c r="N627" s="64" t="n">
        <f aca="false">AND(I28="",C627&lt;&gt;" ")</f>
        <v>1</v>
      </c>
      <c r="O627" s="300" t="n">
        <f aca="false">O626+IF(N626,1,0)</f>
        <v>9</v>
      </c>
      <c r="P627" s="324" t="n">
        <f aca="false">IF(Build!$BY627&lt;=Build!P$615,MATCH(Build!$BY627,Build!O$617:O$714,0))</f>
        <v>13</v>
      </c>
      <c r="Q627" s="112" t="n">
        <f aca="false">Q626+IF(E200&lt;&gt;"",1,0)</f>
        <v>0</v>
      </c>
      <c r="R627" s="324"/>
      <c r="S627" s="112" t="n">
        <f aca="false">S626+IF(E125&lt;&gt;"",1,0)</f>
        <v>1</v>
      </c>
      <c r="T627" s="112"/>
      <c r="U627" s="300" t="n">
        <f aca="false">U626+IF(B403&lt;&gt;"",1,0)</f>
        <v>0</v>
      </c>
      <c r="V627" s="112" t="n">
        <f aca="false">V626+IF(B435&lt;&gt;"",1,0)</f>
        <v>0</v>
      </c>
      <c r="W627" s="112" t="n">
        <f aca="false">W626+IF(B467&lt;&gt;"",1,0)</f>
        <v>0</v>
      </c>
      <c r="X627" s="112" t="n">
        <f aca="false">X626+IF(B499&lt;&gt;"",1,0)</f>
        <v>0</v>
      </c>
      <c r="Y627" s="112" t="n">
        <f aca="false">Y626+IF(B531&lt;&gt;"",1,0)</f>
        <v>0</v>
      </c>
      <c r="Z627" s="324" t="n">
        <f aca="false">IF(B563&lt;&gt;"",1,0)</f>
        <v>0</v>
      </c>
      <c r="AA627" s="300" t="n">
        <f aca="false">IF($BY627&lt;=U$615,MATCH($BY627,U$617:U$737,0))</f>
        <v>0</v>
      </c>
      <c r="AB627" s="112" t="n">
        <f aca="false">IF($BY627&lt;=V$615,MATCH($BY627,V$617:V$737,0))</f>
        <v>0</v>
      </c>
      <c r="AC627" s="112" t="n">
        <f aca="false">IF($BY627&lt;=W$615,MATCH($BY627,W$617:W$737,0))</f>
        <v>0</v>
      </c>
      <c r="AD627" s="112" t="n">
        <f aca="false">IF($BY627&lt;=X$615,MATCH($BY627,X$617:X$737,0))</f>
        <v>0</v>
      </c>
      <c r="AE627" s="112" t="n">
        <f aca="false">IF($BY627&lt;=Y$615,MATCH($BY627,Y$617:Y$737,0))</f>
        <v>0</v>
      </c>
      <c r="AF627" s="324" t="n">
        <f aca="false">IF($BY627&lt;=Z$615,MATCH($BY627,Z$617:Z$737,0))</f>
        <v>0</v>
      </c>
      <c r="AG627" s="325" t="str">
        <f aca="true">IF(AND(AA627&lt;="",AP18=""),OFFSET(Spells!H$2,AA627,0),"")</f>
        <v>Effect</v>
      </c>
      <c r="AH627" s="325" t="str">
        <f aca="true">IF(AND(AB627&lt;="",AP18=""),OFFSET(Spells!R$2,AB627,0),"")</f>
        <v>Effect</v>
      </c>
      <c r="AI627" s="325" t="str">
        <f aca="true">IF(AND(AC627&lt;="",AP18=""),OFFSET(Spells!AB$2,AC627,0),"")</f>
        <v>Effect</v>
      </c>
      <c r="AJ627" s="326" t="str">
        <f aca="true">IF(AND(AD627&lt;="",AP18=""),OFFSET(Spells!AL$2,AD627,0),"")</f>
        <v>Effect</v>
      </c>
      <c r="AK627" s="326" t="str">
        <f aca="true">IF(AND(AE627&lt;="",AP18=""),OFFSET(Spells!AV$2,AE627,0),"")</f>
        <v>Effect</v>
      </c>
      <c r="AL627" s="325" t="str">
        <f aca="true">IF(AND(AF627&lt;="",AP18=""),OFFSET(Spells!$H$2,AF627,0),"")</f>
        <v>Effect</v>
      </c>
      <c r="AM627" s="327" t="str">
        <f aca="false">B73</f>
        <v>Wound Thr.</v>
      </c>
      <c r="AN627" s="112" t="n">
        <f aca="false">D73</f>
        <v>0</v>
      </c>
      <c r="AO627" s="112" t="n">
        <f aca="true">OFFSET(Cost_9_12,AN627,0)</f>
        <v>0</v>
      </c>
      <c r="AP627" s="112" t="n">
        <f aca="false">AP626+IF(AN627&gt;0,1,0)</f>
        <v>0</v>
      </c>
      <c r="AQ627" s="324" t="n">
        <f aca="false">IF($BY627&lt;=AQ$615,MATCH($BY627,AP$617:AP$656,0))</f>
        <v>0</v>
      </c>
      <c r="AR627" s="327" t="str">
        <f aca="false">B91&amp;IF(H91&lt;&gt;""," ("&amp;H91&amp;")","")</f>
        <v>Racial Lore</v>
      </c>
      <c r="AS627" s="112" t="n">
        <f aca="false">F91</f>
        <v>0</v>
      </c>
      <c r="AT627" s="112" t="n">
        <f aca="true">OFFSET(CostSkill,AS627,0)-OFFSET(CostSkill,E91,0)</f>
        <v>0</v>
      </c>
      <c r="AU627" s="112" t="str">
        <f aca="false">G91</f>
        <v>P</v>
      </c>
      <c r="AV627" s="112" t="n">
        <f aca="false">AV626+IF(AND(AR627&lt;&gt;" ",AS627&gt;0),1,0)</f>
        <v>2</v>
      </c>
      <c r="AW627" s="324" t="n">
        <f aca="false">IF($BY627&lt;=AW$615,MATCH(BY627,AV$617:AV$763,0))</f>
        <v>71</v>
      </c>
      <c r="AX627" s="327" t="str">
        <f aca="false">IF(Discipline1&lt;&gt;"",HLOOKUP(Discipline1,knackfordic,BY624)," ")</f>
        <v>Astral Tracking</v>
      </c>
      <c r="AY627" s="329" t="n">
        <f aca="false">MATCH(AX627,Talents!G$3:G$210)</f>
        <v>17</v>
      </c>
      <c r="AZ627" s="329" t="str">
        <f aca="true">IF(AY627,OFFSET(Talents!H$2,Build!AY627,0)," ")</f>
        <v>Tracking</v>
      </c>
      <c r="BA627" s="112" t="n">
        <f aca="true">IF(AY627,OFFSET(Talents!J$2,Build!AY627,0)," ")</f>
        <v>2</v>
      </c>
      <c r="BB627" s="112" t="n">
        <f aca="true">IF(AY627,OFFSET(Talents!I$2,Build!AY627,0)," ")</f>
        <v>7</v>
      </c>
      <c r="BC627" s="112" t="n">
        <f aca="true">IF(AY627,OFFSET(Talents!K$2,Build!AY627,0)," ")</f>
        <v>5500</v>
      </c>
      <c r="BD627" s="112" t="n">
        <f aca="true">IF(AX$663=" ",OFFSET(E$615,MATCH(AZ627,D$616:D$656,0),0),IF(ISERROR(MATCH(AZ627,D$657:D$697,0)),OFFSET(E$615,MATCH(AZ627,D$616:D$656,0),0),IF(OFFSET(E$615,MATCH(AZ627,D$616:D$656,0),0)&gt;OFFSET(E$656,MATCH(AZ627,D$657:D$697,0),0),OFFSET(E$615,MATCH(AZ627,D$616:D$656,0),0),OFFSET(E$656,MATCH(AZ627,D$657:D$697,0),0))))</f>
        <v>8</v>
      </c>
      <c r="BE627" s="112" t="n">
        <f aca="false">BE626+IF(ISERROR(BD627), 0, IF(BD627&gt;=BB627, 1, 0))</f>
        <v>9</v>
      </c>
      <c r="BF627" s="324" t="n">
        <f aca="false">IF($BY627&lt;=BF$615,MATCH(BY627,BE$617:BE$681,0))</f>
        <v>17</v>
      </c>
      <c r="BG627" s="112" t="n">
        <f aca="false">BG626+IF(AND(K46&lt;&gt;" ",N46&lt;&gt;""),1,0)</f>
        <v>1</v>
      </c>
      <c r="BH627" s="112" t="n">
        <f aca="false">IF($BY627&lt;=BH$615,MATCH(BY627,BG$617:BG$649,0))</f>
        <v>0</v>
      </c>
      <c r="BI627" s="324" t="n">
        <f aca="true">IF(BH627,OFFSET(Q$35,BH627,0),0)</f>
        <v>0</v>
      </c>
      <c r="BJ627" s="329" t="str">
        <f aca="false">IF(P190&lt;&gt;"",M190," ")</f>
        <v>Absorb Blow</v>
      </c>
      <c r="BK627" s="112" t="n">
        <f aca="false">IF(P190="",0,Q190)</f>
        <v>2</v>
      </c>
      <c r="BL627" s="112" t="n">
        <f aca="false">BL626+IF(BJ627&lt;&gt;" ",BK627,0)</f>
        <v>2</v>
      </c>
      <c r="BM627" s="112" t="n">
        <f aca="false">R190</f>
        <v>0</v>
      </c>
      <c r="BN627" s="112" t="n">
        <f aca="false">BN626+IF(BJ627&lt;&gt;" ",BM627,0)</f>
        <v>0</v>
      </c>
      <c r="BO627" s="329" t="str">
        <f aca="false">BO628&amp;IF(BJ627&lt;&gt;" ",", "&amp;BJ627&amp;" ("&amp;BK627&amp;")","")</f>
        <v>, Karma (3), Horror Fend (3), Absorb Blow (2)</v>
      </c>
      <c r="BP627" s="327" t="n">
        <f aca="false">IF(BJ627&lt;&gt;" ",1,0)</f>
        <v>1</v>
      </c>
      <c r="BQ627" s="332" t="n">
        <f aca="false">IF($BY627&lt;=BP$670,(MATCH(($BY627-10),BP$627:BP$669,0)+10))</f>
        <v>11</v>
      </c>
      <c r="BR627" s="329" t="s">
        <v>1106</v>
      </c>
      <c r="BS627" s="112" t="e">
        <f aca="false">MATCH(BR627,D$616:D$713,0)</f>
        <v>#N/A</v>
      </c>
      <c r="BT627" s="112" t="e">
        <f aca="true">OFFSET(E$615,BS627,0)+OFFSET(I$615,BS627,0)</f>
        <v>#N/A</v>
      </c>
      <c r="BU627" s="112" t="n">
        <f aca="false">BU626+IF(ISERROR(BT627),0,IF(BT627&gt;0,1,0))</f>
        <v>0</v>
      </c>
      <c r="BV627" s="112" t="n">
        <f aca="false">IF($BY627&lt;=BV$615,MATCH($BY627,BU$617:BU$649,0))</f>
        <v>0</v>
      </c>
      <c r="BW627" s="301" t="s">
        <v>1105</v>
      </c>
      <c r="BX627" s="301" t="e">
        <f aca="false">CHAR(64+BU627)&amp;": "&amp;BW627&amp;" ("&amp;BT627&amp;")"</f>
        <v>#N/A</v>
      </c>
      <c r="BY627" s="333" t="n">
        <f aca="false">BY626+1</f>
        <v>11</v>
      </c>
      <c r="BZ627" s="329" t="str">
        <f aca="false">B245</f>
        <v>Breeches, Peasant's</v>
      </c>
      <c r="CA627" s="112" t="n">
        <f aca="false">E245</f>
        <v>0</v>
      </c>
      <c r="CB627" s="112" t="n">
        <f aca="false">F245</f>
        <v>0.4</v>
      </c>
      <c r="CC627" s="112" t="s">
        <v>301</v>
      </c>
      <c r="CD627" s="329" t="n">
        <f aca="false">FIND(",",BZ627)</f>
        <v>9</v>
      </c>
      <c r="CE627" s="329" t="str">
        <f aca="false">IF(ISERROR(CD627),BZ627,MID(BZ627,CD627+2,20)&amp;" "&amp;LEFT(BZ627,CD627-1))&amp;IF(ISERROR(VALUE(CA627)),"",IF(CA627&gt;1," ("&amp;CA627&amp;")",""))</f>
        <v>Peasant's Breeches</v>
      </c>
      <c r="CF627" s="329" t="str">
        <f aca="false">IF(CC627=" "," ",IF(ISERROR(VALUE(CA627)),CC627,CA627*CC627))</f>
        <v> </v>
      </c>
      <c r="CG627" s="112" t="n">
        <f aca="false">CG626+IF(AND(BZ627&lt;&gt;0,CA627&lt;&gt;0),1,0)</f>
        <v>1</v>
      </c>
      <c r="CH627" s="112" t="n">
        <f aca="false">IF($BY627&lt;=CH$615,MATCH($BY627,CG$617:CG$863,0))</f>
        <v>79</v>
      </c>
      <c r="CI627" s="335" t="n">
        <f aca="false">AA200</f>
        <v>0</v>
      </c>
      <c r="CJ627" s="336" t="n">
        <f aca="false">AD200</f>
        <v>0</v>
      </c>
      <c r="CK627" s="336" t="n">
        <f aca="false">AE200</f>
        <v>0</v>
      </c>
      <c r="CL627" s="174" t="n">
        <f aca="false">CL626+IF(AND(CI627&lt;&gt;0,CJ627&lt;&gt;0),1,0)</f>
        <v>5</v>
      </c>
      <c r="CM627" s="174" t="n">
        <f aca="false">CM626+IF(AND(CI627&lt;&gt;0,CK627&lt;&gt;0),1,0)</f>
        <v>2</v>
      </c>
      <c r="CN627" s="174" t="n">
        <f aca="false">IF($BY627&lt;=CL$627,MATCH($BY627,CL$617:CL$627,0))</f>
        <v>0</v>
      </c>
      <c r="CO627" s="174" t="n">
        <f aca="false">IF($BY627&lt;=CM$627,MATCH($BY627,CM$617:CM$627,0))</f>
        <v>0</v>
      </c>
    </row>
    <row r="628" s="32" customFormat="true" ht="12.75" hidden="false" customHeight="false" outlineLevel="0" collapsed="false">
      <c r="B628" s="279" t="n">
        <v>4</v>
      </c>
      <c r="C628" s="67" t="str">
        <f aca="false">IF(Circle1&gt;=$B628,HLOOKUP(Discipline1,talentfordisc,1+BY629,0)," ")</f>
        <v>Thread Weaving (Scout) (D)</v>
      </c>
      <c r="D628" s="67" t="str">
        <f aca="false">IF(RIGHT(C628, 3)="(D)",LEFT(C628,LEN(C628)-4),C628)</f>
        <v>Thread Weaving (Scout)</v>
      </c>
      <c r="E628" s="64" t="n">
        <f aca="false">F29</f>
        <v>6</v>
      </c>
      <c r="F628" s="182" t="n">
        <f aca="true">OFFSET(Cost_1_4,E628,0)</f>
        <v>3200</v>
      </c>
      <c r="G628" s="64" t="n">
        <f aca="false">IF(C628&lt;&gt;" ",MATCH(D628,Talents!B$3:B$345,1),0)</f>
        <v>285</v>
      </c>
      <c r="H628" s="64" t="str">
        <f aca="true">IF(G628=0," ",OFFSET(Talents!C$2,G628,0))</f>
        <v>P</v>
      </c>
      <c r="I628" s="64" t="n">
        <f aca="false">IF(E628&gt;0,G29,0)</f>
        <v>0</v>
      </c>
      <c r="J628" s="64" t="n">
        <f aca="false">IF(H628&lt;&gt;" ",E628+VLOOKUP(H628,G$597:L$603,6,0)+I628," ")</f>
        <v>13</v>
      </c>
      <c r="K628" s="64" t="str">
        <f aca="true">IF(J628&lt;&gt;" ",OFFSET(ActionDice,J628,0),"-")</f>
        <v>d12+d10</v>
      </c>
      <c r="L628" s="67" t="n">
        <f aca="false">OR(RIGHT(C628, 3)="(D)", NOT(ISERROR(MATCH(D628&amp;" (D)", C$657:C$697, 0))))</f>
        <v>1</v>
      </c>
      <c r="M628" s="64" t="str">
        <f aca="true">IF(G628&gt;0,IF(L628,"D",OFFSET(Talents!D$2,G628,0))&amp;OFFSET(Talents!E$2,G628,0)," ")</f>
        <v>D/A/-</v>
      </c>
      <c r="N628" s="64" t="n">
        <f aca="false">AND(I29="",C628&lt;&gt;" ")</f>
        <v>1</v>
      </c>
      <c r="O628" s="300" t="n">
        <f aca="false">O627+IF(N627,1,0)</f>
        <v>10</v>
      </c>
      <c r="P628" s="324" t="n">
        <f aca="false">IF(Build!$BY628&lt;=Build!P$615,MATCH(Build!$BY628,Build!O$617:O$714,0))</f>
        <v>14</v>
      </c>
      <c r="Q628" s="112" t="n">
        <f aca="false">Q627+IF(E201&lt;&gt;"",1,0)</f>
        <v>0</v>
      </c>
      <c r="R628" s="324"/>
      <c r="S628" s="112" t="n">
        <f aca="false">S627+IF(E126&lt;&gt;"",1,0)</f>
        <v>1</v>
      </c>
      <c r="T628" s="112"/>
      <c r="U628" s="300" t="n">
        <f aca="false">U627+IF(B404&lt;&gt;"",1,0)</f>
        <v>0</v>
      </c>
      <c r="V628" s="112" t="n">
        <f aca="false">V627+IF(B436&lt;&gt;"",1,0)</f>
        <v>0</v>
      </c>
      <c r="W628" s="112" t="n">
        <f aca="false">W627+IF(B468&lt;&gt;"",1,0)</f>
        <v>0</v>
      </c>
      <c r="X628" s="112" t="n">
        <f aca="false">X627+IF(B500&lt;&gt;"",1,0)</f>
        <v>0</v>
      </c>
      <c r="Y628" s="112" t="n">
        <f aca="false">Y627+IF(B532&lt;&gt;"",1,0)</f>
        <v>0</v>
      </c>
      <c r="Z628" s="324" t="n">
        <f aca="false">IF(B564&lt;&gt;"",1,0)</f>
        <v>0</v>
      </c>
      <c r="AA628" s="300" t="n">
        <f aca="false">IF($BY628&lt;=U$615,MATCH($BY628,U$617:U$737,0))</f>
        <v>0</v>
      </c>
      <c r="AB628" s="112" t="n">
        <f aca="false">IF($BY628&lt;=V$615,MATCH($BY628,V$617:V$737,0))</f>
        <v>0</v>
      </c>
      <c r="AC628" s="112" t="n">
        <f aca="false">IF($BY628&lt;=W$615,MATCH($BY628,W$617:W$737,0))</f>
        <v>0</v>
      </c>
      <c r="AD628" s="112" t="n">
        <f aca="false">IF($BY628&lt;=X$615,MATCH($BY628,X$617:X$737,0))</f>
        <v>0</v>
      </c>
      <c r="AE628" s="112" t="n">
        <f aca="false">IF($BY628&lt;=Y$615,MATCH($BY628,Y$617:Y$737,0))</f>
        <v>0</v>
      </c>
      <c r="AF628" s="324" t="n">
        <f aca="false">IF($BY628&lt;=Z$615,MATCH($BY628,Z$617:Z$737,0))</f>
        <v>0</v>
      </c>
      <c r="AG628" s="325" t="str">
        <f aca="true">IF(AND(AA628&lt;="",AP19=""),OFFSET(Spells!H$2,AA628,0),"")</f>
        <v>Effect</v>
      </c>
      <c r="AH628" s="325" t="str">
        <f aca="true">IF(AND(AB628&lt;="",AP19=""),OFFSET(Spells!R$2,AB628,0),"")</f>
        <v>Effect</v>
      </c>
      <c r="AI628" s="325" t="str">
        <f aca="true">IF(AND(AC628&lt;="",AP19=""),OFFSET(Spells!AB$2,AC628,0),"")</f>
        <v>Effect</v>
      </c>
      <c r="AJ628" s="326" t="str">
        <f aca="true">IF(AND(AD628&lt;="",AP19=""),OFFSET(Spells!AL$2,AD628,0),"")</f>
        <v>Effect</v>
      </c>
      <c r="AK628" s="326" t="str">
        <f aca="true">IF(AND(AE628&lt;="",AP19=""),OFFSET(Spells!AV$2,AE628,0),"")</f>
        <v>Effect</v>
      </c>
      <c r="AL628" s="325" t="str">
        <f aca="true">IF(AND(AF628&lt;="",AP19=""),OFFSET(Spells!$H$2,AF628,0),"")</f>
        <v>Effect</v>
      </c>
      <c r="AM628" s="327" t="str">
        <f aca="false">B74</f>
        <v>Initiative</v>
      </c>
      <c r="AN628" s="112" t="n">
        <f aca="false">D74</f>
        <v>0</v>
      </c>
      <c r="AO628" s="112" t="n">
        <f aca="true">OFFSET(Cost_9_12,AN628,0)</f>
        <v>0</v>
      </c>
      <c r="AP628" s="112" t="n">
        <f aca="false">AP627+IF(AN628&gt;0,1,0)</f>
        <v>0</v>
      </c>
      <c r="AQ628" s="324" t="n">
        <f aca="false">IF($BY628&lt;=AQ$615,MATCH($BY628,AP$617:AP$656,0))</f>
        <v>0</v>
      </c>
      <c r="AR628" s="327" t="str">
        <f aca="false">B92&amp;IF(H92&lt;&gt;""," ("&amp;H92&amp;")","")</f>
        <v>Racial Politics</v>
      </c>
      <c r="AS628" s="112" t="n">
        <f aca="false">F92</f>
        <v>1</v>
      </c>
      <c r="AT628" s="112" t="n">
        <f aca="true">OFFSET(CostSkill,AS628,0)-OFFSET(CostSkill,E92,0)</f>
        <v>0</v>
      </c>
      <c r="AU628" s="112" t="str">
        <f aca="false">G92</f>
        <v>P</v>
      </c>
      <c r="AV628" s="112" t="n">
        <f aca="false">AV627+IF(AND(AR628&lt;&gt;" ",AS628&gt;0),1,0)</f>
        <v>3</v>
      </c>
      <c r="AW628" s="324" t="n">
        <f aca="false">IF($BY628&lt;=AW$615,MATCH(BY628,AV$617:AV$763,0))</f>
        <v>74</v>
      </c>
      <c r="AX628" s="327" t="str">
        <f aca="false">IF(Discipline1&lt;&gt;"",HLOOKUP(Discipline1,knackfordic,BY625)," ")</f>
        <v>Attribute Pattern</v>
      </c>
      <c r="AY628" s="329" t="n">
        <f aca="false">MATCH(AX628,Talents!G$3:G$210)</f>
        <v>18</v>
      </c>
      <c r="AZ628" s="329" t="str">
        <f aca="true">IF(AY628,OFFSET(Talents!H$2,Build!AY628,0)," ")</f>
        <v>Thread Weaving*</v>
      </c>
      <c r="BA628" s="112" t="n">
        <f aca="true">IF(AY628,OFFSET(Talents!J$2,Build!AY628,0)," ")</f>
        <v>2</v>
      </c>
      <c r="BB628" s="112" t="n">
        <f aca="true">IF(AY628,OFFSET(Talents!I$2,Build!AY628,0)," ")</f>
        <v>13</v>
      </c>
      <c r="BC628" s="112" t="n">
        <f aca="true">IF(AY628,OFFSET(Talents!K$2,Build!AY628,0)," ")</f>
        <v>98700</v>
      </c>
      <c r="BD628" s="112" t="n">
        <f aca="true">IF(AX$663=" ",OFFSET(E$615,MATCH(AZ628,D$616:D$656,0),0),IF(ISERROR(MATCH(AZ628,D$657:D$697,0)),OFFSET(E$615,MATCH(AZ628,D$616:D$656,0),0),IF(OFFSET(E$615,MATCH(AZ628,D$616:D$656,0),0)&gt;OFFSET(E$656,MATCH(AZ628,D$657:D$697,0),0),OFFSET(E$615,MATCH(AZ628,D$616:D$656,0),0),OFFSET(E$656,MATCH(AZ628,D$657:D$697,0),0))))</f>
        <v>6</v>
      </c>
      <c r="BE628" s="112" t="n">
        <f aca="false">BE627+IF(ISERROR(BD628), 0, IF(BD628&gt;=BB628, 1, 0))</f>
        <v>9</v>
      </c>
      <c r="BF628" s="324" t="n">
        <f aca="false">IF($BY628&lt;=BF$615,MATCH(BY628,BE$617:BE$681,0))</f>
        <v>18</v>
      </c>
      <c r="BG628" s="112" t="n">
        <f aca="false">BG627+IF(AND(K47&lt;&gt;" ",N47&lt;&gt;""),1,0)</f>
        <v>1</v>
      </c>
      <c r="BH628" s="112" t="n">
        <f aca="false">IF($BY628&lt;=BH$615,MATCH(BY628,BG$617:BG$649,0))</f>
        <v>0</v>
      </c>
      <c r="BI628" s="324" t="n">
        <f aca="true">IF(BH628,OFFSET(Q$35,BH628,0),0)</f>
        <v>0</v>
      </c>
      <c r="BJ628" s="329" t="str">
        <f aca="false">IF(P191&lt;&gt;"",M191," ")</f>
        <v> </v>
      </c>
      <c r="BK628" s="112" t="n">
        <f aca="false">IF(P191="",0,Q191)</f>
        <v>0</v>
      </c>
      <c r="BL628" s="112" t="n">
        <f aca="false">BL627+IF(BJ628&lt;&gt;" ",BK628,0)</f>
        <v>2</v>
      </c>
      <c r="BM628" s="112" t="n">
        <f aca="false">R191</f>
        <v>0</v>
      </c>
      <c r="BN628" s="112" t="n">
        <f aca="false">BN627+IF(BJ628&lt;&gt;" ",BM628,0)</f>
        <v>0</v>
      </c>
      <c r="BO628" s="329" t="str">
        <f aca="false">BO629&amp;IF(BJ628&lt;&gt;" ",", "&amp;BJ628&amp;" ("&amp;BK628&amp;")","")</f>
        <v>, Karma (3), Horror Fend (3)</v>
      </c>
      <c r="BP628" s="327" t="n">
        <f aca="false">BP627+IF(BJ628&lt;&gt;" ",1,0)</f>
        <v>1</v>
      </c>
      <c r="BQ628" s="332" t="n">
        <f aca="false">IF($BY628&lt;=BP$670,(MATCH(($BY628-10),BP$627:BP$669,0)+10))</f>
        <v>42</v>
      </c>
      <c r="BR628" s="174" t="s">
        <v>1107</v>
      </c>
      <c r="BS628" s="175" t="e">
        <f aca="false">MATCH(BR628,D$616:D$713,0)</f>
        <v>#N/A</v>
      </c>
      <c r="BT628" s="175" t="e">
        <f aca="true">OFFSET(E$615,BS628,0)+OFFSET(I$615,BS628,0)</f>
        <v>#N/A</v>
      </c>
      <c r="BU628" s="175" t="n">
        <f aca="false">BU627+IF(ISERROR(BT628),0,IF(BT628&gt;0,1,0))</f>
        <v>0</v>
      </c>
      <c r="BV628" s="175" t="n">
        <f aca="false">IF($BY628&lt;=BV$615,MATCH($BY628,BU$617:BU$649,0))</f>
        <v>0</v>
      </c>
      <c r="BW628" s="337" t="s">
        <v>1105</v>
      </c>
      <c r="BX628" s="302" t="e">
        <f aca="false">CHAR(64+BU628)&amp;": "&amp;BW628&amp;" ("&amp;BT628&amp;")"</f>
        <v>#N/A</v>
      </c>
      <c r="BY628" s="333" t="n">
        <f aca="false">BY627+1</f>
        <v>12</v>
      </c>
      <c r="BZ628" s="329" t="str">
        <f aca="false">B246</f>
        <v>Breeches, Merchant's</v>
      </c>
      <c r="CA628" s="112" t="n">
        <f aca="false">E246</f>
        <v>0</v>
      </c>
      <c r="CB628" s="112" t="n">
        <f aca="false">F246</f>
        <v>1</v>
      </c>
      <c r="CC628" s="112" t="s">
        <v>301</v>
      </c>
      <c r="CD628" s="329" t="n">
        <f aca="false">FIND(",",BZ628)</f>
        <v>9</v>
      </c>
      <c r="CE628" s="329" t="str">
        <f aca="false">IF(ISERROR(CD628),BZ628,MID(BZ628,CD628+2,20)&amp;" "&amp;LEFT(BZ628,CD628-1))&amp;IF(ISERROR(VALUE(CA628)),"",IF(CA628&gt;1," ("&amp;CA628&amp;")",""))</f>
        <v>Merchant's Breeches</v>
      </c>
      <c r="CF628" s="329" t="str">
        <f aca="false">IF(CC628=" "," ",IF(ISERROR(VALUE(CA628)),CC628,CA628*CC628))</f>
        <v> </v>
      </c>
      <c r="CG628" s="112" t="n">
        <f aca="false">CG627+IF(AND(BZ628&lt;&gt;0,CA628&lt;&gt;0),1,0)</f>
        <v>1</v>
      </c>
      <c r="CH628" s="112" t="n">
        <f aca="false">IF($BY628&lt;=CH$615,MATCH($BY628,CG$617:CG$863,0))</f>
        <v>80</v>
      </c>
    </row>
    <row r="629" s="32" customFormat="true" ht="12.75" hidden="false" customHeight="false" outlineLevel="0" collapsed="false">
      <c r="B629" s="279" t="n">
        <v>4</v>
      </c>
      <c r="C629" s="67" t="str">
        <f aca="false">AQ30</f>
        <v>Great Leap</v>
      </c>
      <c r="D629" s="67" t="str">
        <f aca="false">IF(RIGHT(C629, 3)="(D)",LEFT(C629,LEN(C629)-4),C629)</f>
        <v>Great Leap</v>
      </c>
      <c r="E629" s="64" t="n">
        <f aca="false">F30</f>
        <v>6</v>
      </c>
      <c r="F629" s="182" t="n">
        <f aca="true">OFFSET(Cost_1_4,E629,0)</f>
        <v>3200</v>
      </c>
      <c r="G629" s="64" t="n">
        <f aca="false">IF(C629&lt;&gt;" ",MATCH(D629,Talents!B$3:B$345,1),0)</f>
        <v>136</v>
      </c>
      <c r="H629" s="64" t="str">
        <f aca="true">IF(G629=0," ",OFFSET(Talents!C$2,G629,0))</f>
        <v>D</v>
      </c>
      <c r="I629" s="64" t="n">
        <f aca="false">IF(E629&gt;0,G30,0)</f>
        <v>0</v>
      </c>
      <c r="J629" s="64" t="n">
        <f aca="false">IF(H629&lt;&gt;" ",E629+VLOOKUP(H629,G$597:L$603,6,0)+I629," ")</f>
        <v>13</v>
      </c>
      <c r="K629" s="64" t="str">
        <f aca="true">IF(J629&lt;&gt;" ",OFFSET(ActionDice,J629,0),"-")</f>
        <v>d12+d10</v>
      </c>
      <c r="L629" s="67" t="n">
        <f aca="false">OR(RIGHT(C629, 3)="(D)", NOT(ISERROR(MATCH(D629&amp;" (D)", C$657:C$697, 0))))</f>
        <v>0</v>
      </c>
      <c r="M629" s="64" t="str">
        <f aca="true">IF(G629&gt;0,IF(L629,"D",OFFSET(Talents!D$2,G629,0))&amp;OFFSET(Talents!E$2,G629,0)," ")</f>
        <v>-/F/1</v>
      </c>
      <c r="N629" s="64" t="n">
        <f aca="false">AND(I30="",C629&lt;&gt;" ")</f>
        <v>1</v>
      </c>
      <c r="O629" s="300" t="n">
        <f aca="false">O628+IF(N628,1,0)</f>
        <v>11</v>
      </c>
      <c r="P629" s="324" t="n">
        <f aca="false">IF(Build!$BY629&lt;=Build!P$615,MATCH(Build!$BY629,Build!O$617:O$714,0))</f>
        <v>15</v>
      </c>
      <c r="Q629" s="112" t="n">
        <f aca="false">Q628+IF(E202&lt;&gt;"",1,0)</f>
        <v>0</v>
      </c>
      <c r="R629" s="324"/>
      <c r="S629" s="112" t="n">
        <f aca="false">S628+IF(E127&lt;&gt;"",1,0)</f>
        <v>1</v>
      </c>
      <c r="T629" s="112"/>
      <c r="U629" s="300" t="n">
        <f aca="false">U628+IF(B405&lt;&gt;"",1,0)</f>
        <v>0</v>
      </c>
      <c r="V629" s="112" t="n">
        <f aca="false">V628+IF(B437&lt;&gt;"",1,0)</f>
        <v>0</v>
      </c>
      <c r="W629" s="112" t="n">
        <f aca="false">W628+IF(B469&lt;&gt;"",1,0)</f>
        <v>0</v>
      </c>
      <c r="X629" s="112" t="n">
        <f aca="false">X628+IF(B501&lt;&gt;"",1,0)</f>
        <v>0</v>
      </c>
      <c r="Y629" s="112" t="n">
        <f aca="false">Y628+IF(B533&lt;&gt;"",1,0)</f>
        <v>0</v>
      </c>
      <c r="Z629" s="324" t="n">
        <f aca="false">IF(B565&lt;&gt;"",1,0)</f>
        <v>0</v>
      </c>
      <c r="AA629" s="300" t="n">
        <f aca="false">IF($BY629&lt;=U$615,MATCH($BY629,U$617:U$737,0))</f>
        <v>0</v>
      </c>
      <c r="AB629" s="112" t="n">
        <f aca="false">IF($BY629&lt;=V$615,MATCH($BY629,V$617:V$737,0))</f>
        <v>0</v>
      </c>
      <c r="AC629" s="112" t="n">
        <f aca="false">IF($BY629&lt;=W$615,MATCH($BY629,W$617:W$737,0))</f>
        <v>0</v>
      </c>
      <c r="AD629" s="112" t="n">
        <f aca="false">IF($BY629&lt;=X$615,MATCH($BY629,X$617:X$737,0))</f>
        <v>0</v>
      </c>
      <c r="AE629" s="112" t="n">
        <f aca="false">IF($BY629&lt;=Y$615,MATCH($BY629,Y$617:Y$737,0))</f>
        <v>0</v>
      </c>
      <c r="AF629" s="324" t="n">
        <f aca="false">IF($BY629&lt;=Z$615,MATCH($BY629,Z$617:Z$737,0))</f>
        <v>0</v>
      </c>
      <c r="AG629" s="325" t="str">
        <f aca="true">IF(AND(AA629&lt;="",AP20=""),OFFSET(Spells!H$2,AA629,0),"")</f>
        <v>Effect</v>
      </c>
      <c r="AH629" s="325" t="str">
        <f aca="true">IF(AND(AB629&lt;="",AP20=""),OFFSET(Spells!R$2,AB629,0),"")</f>
        <v>Effect</v>
      </c>
      <c r="AI629" s="325" t="str">
        <f aca="true">IF(AND(AC629&lt;="",AP20=""),OFFSET(Spells!AB$2,AC629,0),"")</f>
        <v>Effect</v>
      </c>
      <c r="AJ629" s="326" t="str">
        <f aca="true">IF(AND(AD629&lt;="",AP20=""),OFFSET(Spells!AL$2,AD629,0),"")</f>
        <v>Effect</v>
      </c>
      <c r="AK629" s="326" t="str">
        <f aca="true">IF(AND(AE629&lt;="",AP20=""),OFFSET(Spells!AV$2,AE629,0),"")</f>
        <v>Effect</v>
      </c>
      <c r="AL629" s="325" t="str">
        <f aca="true">IF(AND(AF629&lt;="",AP20=""),OFFSET(Spells!$H$2,AF629,0),"")</f>
        <v>Effect</v>
      </c>
      <c r="AM629" s="327" t="str">
        <f aca="false">B75</f>
        <v>Recovery Step</v>
      </c>
      <c r="AN629" s="112" t="n">
        <f aca="false">D75</f>
        <v>0</v>
      </c>
      <c r="AO629" s="112" t="n">
        <f aca="true">OFFSET(Cost_9_12,AN629,0)</f>
        <v>0</v>
      </c>
      <c r="AP629" s="112" t="n">
        <f aca="false">AP628+IF(AN629&gt;0,1,0)</f>
        <v>0</v>
      </c>
      <c r="AQ629" s="324" t="n">
        <f aca="false">IF($BY629&lt;=AQ$615,MATCH($BY629,AP$617:AP$656,0))</f>
        <v>0</v>
      </c>
      <c r="AR629" s="327" t="str">
        <f aca="false">B93&amp;IF(H93&lt;&gt;""," ("&amp;H93&amp;")","")</f>
        <v>Scourge History</v>
      </c>
      <c r="AS629" s="112" t="n">
        <f aca="false">F93</f>
        <v>0</v>
      </c>
      <c r="AT629" s="112" t="n">
        <f aca="true">OFFSET(CostSkill,AS629,0)-OFFSET(CostSkill,E93,0)</f>
        <v>0</v>
      </c>
      <c r="AU629" s="112" t="str">
        <f aca="false">G93</f>
        <v>P</v>
      </c>
      <c r="AV629" s="112" t="n">
        <f aca="false">AV628+IF(AND(AR629&lt;&gt;" ",AS629&gt;0),1,0)</f>
        <v>3</v>
      </c>
      <c r="AW629" s="324" t="n">
        <f aca="false">IF($BY629&lt;=AW$615,MATCH(BY629,AV$617:AV$763,0))</f>
        <v>77</v>
      </c>
      <c r="AX629" s="327" t="str">
        <f aca="false">IF(Discipline1&lt;&gt;"",HLOOKUP(Discipline1,knackfordic,BY626)," ")</f>
        <v>Bounce</v>
      </c>
      <c r="AY629" s="329" t="n">
        <f aca="false">MATCH(AX629,Talents!G$3:G$210)</f>
        <v>30</v>
      </c>
      <c r="AZ629" s="329" t="str">
        <f aca="true">IF(AY629,OFFSET(Talents!H$2,Build!AY629,0)," ")</f>
        <v>Avoid Blow</v>
      </c>
      <c r="BA629" s="112" t="n">
        <f aca="true">IF(AY629,OFFSET(Talents!J$2,Build!AY629,0)," ")</f>
        <v>2</v>
      </c>
      <c r="BB629" s="112" t="n">
        <f aca="true">IF(AY629,OFFSET(Talents!I$2,Build!AY629,0)," ")</f>
        <v>7</v>
      </c>
      <c r="BC629" s="112" t="n">
        <f aca="true">IF(AY629,OFFSET(Talents!K$2,Build!AY629,0)," ")</f>
        <v>5500</v>
      </c>
      <c r="BD629" s="112" t="e">
        <f aca="true">IF(AX$663=" ",OFFSET(E$615,MATCH(AZ629,D$616:D$656,0),0),IF(ISERROR(MATCH(AZ629,D$657:D$697,0)),OFFSET(E$615,MATCH(AZ629,D$616:D$656,0),0),IF(OFFSET(E$615,MATCH(AZ629,D$616:D$656,0),0)&gt;OFFSET(E$656,MATCH(AZ629,D$657:D$697,0),0),OFFSET(E$615,MATCH(AZ629,D$616:D$656,0),0),OFFSET(E$656,MATCH(AZ629,D$657:D$697,0),0))))</f>
        <v>#N/A</v>
      </c>
      <c r="BE629" s="112" t="n">
        <f aca="false">BE628+IF(ISERROR(BD629), 0, IF(BD629&gt;=BB629, 1, 0))</f>
        <v>9</v>
      </c>
      <c r="BF629" s="324" t="n">
        <f aca="false">IF($BY629&lt;=BF$615,MATCH(BY629,BE$617:BE$681,0))</f>
        <v>19</v>
      </c>
      <c r="BG629" s="112" t="n">
        <f aca="false">BG628+IF(AND(K48&lt;&gt;" ",N48&lt;&gt;""),1,0)</f>
        <v>1</v>
      </c>
      <c r="BH629" s="112" t="n">
        <f aca="false">IF($BY629&lt;=BH$615,MATCH(BY629,BG$617:BG$649,0))</f>
        <v>0</v>
      </c>
      <c r="BI629" s="324" t="n">
        <f aca="true">IF(BH629,OFFSET(Q$35,BH629,0),0)</f>
        <v>0</v>
      </c>
      <c r="BJ629" s="329" t="str">
        <f aca="false">IF(P192&lt;&gt;"",M192," ")</f>
        <v> </v>
      </c>
      <c r="BK629" s="112" t="n">
        <f aca="false">IF(P192="",0,Q192)</f>
        <v>0</v>
      </c>
      <c r="BL629" s="112" t="n">
        <f aca="false">BL628+IF(BJ629&lt;&gt;" ",BK629,0)</f>
        <v>2</v>
      </c>
      <c r="BM629" s="112" t="n">
        <f aca="false">R192</f>
        <v>1</v>
      </c>
      <c r="BN629" s="112" t="n">
        <f aca="false">BN628+IF(BJ629&lt;&gt;" ",BM629,0)</f>
        <v>0</v>
      </c>
      <c r="BO629" s="329" t="str">
        <f aca="false">BO630&amp;IF(BJ629&lt;&gt;" ",", "&amp;BJ629&amp;" ("&amp;BK629&amp;")","")</f>
        <v>, Karma (3), Horror Fend (3)</v>
      </c>
      <c r="BP629" s="327" t="n">
        <f aca="false">BP628+IF(BJ629&lt;&gt;" ",1,0)</f>
        <v>1</v>
      </c>
      <c r="BQ629" s="332" t="n">
        <f aca="false">IF($BY629&lt;=BP$670,(MATCH(($BY629-10),BP$627:BP$669,0)+10))</f>
        <v>44</v>
      </c>
      <c r="BR629" s="210"/>
      <c r="BS629" s="42"/>
      <c r="BT629" s="42"/>
      <c r="BU629" s="42"/>
      <c r="BV629" s="42"/>
      <c r="BW629" s="121"/>
      <c r="BX629" s="121"/>
      <c r="BY629" s="333" t="n">
        <f aca="false">BY628+1</f>
        <v>13</v>
      </c>
      <c r="BZ629" s="329" t="str">
        <f aca="false">B247</f>
        <v>Breeches, Guild member's</v>
      </c>
      <c r="CA629" s="112" t="n">
        <f aca="false">E247</f>
        <v>0</v>
      </c>
      <c r="CB629" s="112" t="n">
        <f aca="false">F247</f>
        <v>7</v>
      </c>
      <c r="CC629" s="112" t="s">
        <v>301</v>
      </c>
      <c r="CD629" s="329" t="n">
        <f aca="false">FIND(",",BZ629)</f>
        <v>9</v>
      </c>
      <c r="CE629" s="329" t="str">
        <f aca="false">IF(ISERROR(CD629),BZ629,MID(BZ629,CD629+2,20)&amp;" "&amp;LEFT(BZ629,CD629-1))&amp;IF(ISERROR(VALUE(CA629)),"",IF(CA629&gt;1," ("&amp;CA629&amp;")",""))</f>
        <v>Guild member's Breeches</v>
      </c>
      <c r="CF629" s="329" t="str">
        <f aca="false">IF(CC629=" "," ",IF(ISERROR(VALUE(CA629)),CC629,CA629*CC629))</f>
        <v> </v>
      </c>
      <c r="CG629" s="112" t="n">
        <f aca="false">CG628+IF(AND(BZ629&lt;&gt;0,CA629&lt;&gt;0),1,0)</f>
        <v>1</v>
      </c>
      <c r="CH629" s="112" t="n">
        <f aca="false">IF($BY629&lt;=CH$615,MATCH($BY629,CG$617:CG$863,0))</f>
        <v>82</v>
      </c>
    </row>
    <row r="630" s="32" customFormat="true" ht="12.75" hidden="false" customHeight="false" outlineLevel="0" collapsed="false">
      <c r="B630" s="279" t="n">
        <v>5</v>
      </c>
      <c r="C630" s="67" t="str">
        <f aca="false">IF(Circle1&gt;=$B630,HLOOKUP(Discipline1,talentfordisc,1+BY631,0)," ")</f>
        <v>Evidence Analysis (D)</v>
      </c>
      <c r="D630" s="67" t="str">
        <f aca="false">IF(RIGHT(C630, 3)="(D)",LEFT(C630,LEN(C630)-4),C630)</f>
        <v>Evidence Analysis</v>
      </c>
      <c r="E630" s="64" t="n">
        <f aca="false">F31</f>
        <v>1</v>
      </c>
      <c r="F630" s="182" t="n">
        <f aca="true">OFFSET(Cost_5_8,E630,0)</f>
        <v>200</v>
      </c>
      <c r="G630" s="64" t="n">
        <f aca="false">IF(C630&lt;&gt;" ",MATCH(D630,Talents!B$3:B$345,1),0)</f>
        <v>112</v>
      </c>
      <c r="H630" s="64" t="str">
        <f aca="true">IF(G630=0," ",OFFSET(Talents!C$2,G630,0))</f>
        <v>P</v>
      </c>
      <c r="I630" s="64" t="n">
        <f aca="false">IF(E630&gt;0,G31,0)</f>
        <v>0</v>
      </c>
      <c r="J630" s="64" t="n">
        <f aca="false">IF(H630&lt;&gt;" ",E630+VLOOKUP(H630,G$597:L$603,6,0)+I630," ")</f>
        <v>8</v>
      </c>
      <c r="K630" s="64" t="str">
        <f aca="true">IF(J630&lt;&gt;" ",OFFSET(ActionDice,J630,0),"-")</f>
        <v>2d6</v>
      </c>
      <c r="L630" s="67" t="n">
        <f aca="false">OR(RIGHT(C630, 3)="(D)", NOT(ISERROR(MATCH(D630&amp;" (D)", C$657:C$697, 0))))</f>
        <v>1</v>
      </c>
      <c r="M630" s="64" t="str">
        <f aca="true">IF(G630&gt;0,IF(L630,"D",OFFSET(Talents!D$2,G630,0))&amp;OFFSET(Talents!E$2,G630,0)," ")</f>
        <v>D/*/1</v>
      </c>
      <c r="N630" s="64" t="n">
        <f aca="false">AND(I31="",C630&lt;&gt;" ")</f>
        <v>1</v>
      </c>
      <c r="O630" s="300" t="n">
        <f aca="false">O629+IF(N629,1,0)</f>
        <v>12</v>
      </c>
      <c r="P630" s="324" t="n">
        <f aca="false">IF(Build!$BY630&lt;=Build!P$615,MATCH(Build!$BY630,Build!O$617:O$714,0))</f>
        <v>16</v>
      </c>
      <c r="Q630" s="112" t="n">
        <f aca="false">Q629+IF(E203&lt;&gt;"",1,0)</f>
        <v>0</v>
      </c>
      <c r="R630" s="324"/>
      <c r="S630" s="112" t="n">
        <f aca="false">S629+IF(E128&lt;&gt;"",1,0)</f>
        <v>1</v>
      </c>
      <c r="T630" s="112"/>
      <c r="U630" s="300" t="n">
        <f aca="false">U629+IF(B406&lt;&gt;"",1,0)</f>
        <v>0</v>
      </c>
      <c r="V630" s="112" t="n">
        <f aca="false">V629+IF(B438&lt;&gt;"",1,0)</f>
        <v>0</v>
      </c>
      <c r="W630" s="112" t="n">
        <f aca="false">W629+IF(B470&lt;&gt;"",1,0)</f>
        <v>0</v>
      </c>
      <c r="X630" s="112" t="n">
        <f aca="false">X629+IF(B502&lt;&gt;"",1,0)</f>
        <v>0</v>
      </c>
      <c r="Y630" s="112" t="n">
        <f aca="false">Y629+IF(B534&lt;&gt;"",1,0)</f>
        <v>0</v>
      </c>
      <c r="Z630" s="324" t="n">
        <f aca="false">IF(B566&lt;&gt;"",1,0)</f>
        <v>0</v>
      </c>
      <c r="AA630" s="300" t="n">
        <f aca="false">IF($BY630&lt;=U$615,MATCH($BY630,U$617:U$737,0))</f>
        <v>0</v>
      </c>
      <c r="AB630" s="112" t="n">
        <f aca="false">IF($BY630&lt;=V$615,MATCH($BY630,V$617:V$737,0))</f>
        <v>0</v>
      </c>
      <c r="AC630" s="112" t="n">
        <f aca="false">IF($BY630&lt;=W$615,MATCH($BY630,W$617:W$737,0))</f>
        <v>0</v>
      </c>
      <c r="AD630" s="112" t="n">
        <f aca="false">IF($BY630&lt;=X$615,MATCH($BY630,X$617:X$737,0))</f>
        <v>0</v>
      </c>
      <c r="AE630" s="112" t="n">
        <f aca="false">IF($BY630&lt;=Y$615,MATCH($BY630,Y$617:Y$737,0))</f>
        <v>0</v>
      </c>
      <c r="AF630" s="324" t="n">
        <f aca="false">IF($BY630&lt;=Z$615,MATCH($BY630,Z$617:Z$737,0))</f>
        <v>0</v>
      </c>
      <c r="AG630" s="325" t="str">
        <f aca="true">IF(AND(AA630&lt;="",AP21=""),OFFSET(Spells!H$2,AA630,0),"")</f>
        <v>Effect</v>
      </c>
      <c r="AH630" s="325" t="str">
        <f aca="true">IF(AND(AB630&lt;="",AP21=""),OFFSET(Spells!R$2,AB630,0),"")</f>
        <v>Effect</v>
      </c>
      <c r="AI630" s="325" t="str">
        <f aca="true">IF(AND(AC630&lt;="",AP21=""),OFFSET(Spells!AB$2,AC630,0),"")</f>
        <v>Effect</v>
      </c>
      <c r="AJ630" s="326" t="str">
        <f aca="true">IF(AND(AD630&lt;="",AP21=""),OFFSET(Spells!AL$2,AD630,0),"")</f>
        <v>Effect</v>
      </c>
      <c r="AK630" s="326" t="str">
        <f aca="true">IF(AND(AE630&lt;="",AP21=""),OFFSET(Spells!AV$2,AE630,0),"")</f>
        <v>Effect</v>
      </c>
      <c r="AL630" s="325" t="str">
        <f aca="true">IF(AND(AF630&lt;="",AP21=""),OFFSET(Spells!$H$2,AF630,0),"")</f>
        <v>Effect</v>
      </c>
      <c r="AM630" s="327" t="str">
        <f aca="false">IF(L65&lt;&gt;"",L65," ")</f>
        <v>Vandgaldens Morning</v>
      </c>
      <c r="AN630" s="112" t="n">
        <f aca="false">IF(AM630&gt;0, O65, 0)</f>
        <v>3</v>
      </c>
      <c r="AO630" s="112" t="n">
        <f aca="false">IF(AN630&gt;0,Q65,0)</f>
        <v>600</v>
      </c>
      <c r="AP630" s="112" t="n">
        <f aca="false">AP629+IF(AND(AM630&lt;&gt;" ",AN630&gt;0),1,0)</f>
        <v>1</v>
      </c>
      <c r="AQ630" s="324" t="n">
        <f aca="false">IF($BY630&lt;=AQ$615,MATCH($BY630,AP$617:AP$656,0))</f>
        <v>0</v>
      </c>
      <c r="AR630" s="327" t="str">
        <f aca="false">B94&amp;IF(H94&lt;&gt;""," ("&amp;H94&amp;")","")</f>
        <v>Trade Routes of Barsaive</v>
      </c>
      <c r="AS630" s="112" t="n">
        <f aca="false">F94</f>
        <v>1</v>
      </c>
      <c r="AT630" s="112" t="n">
        <f aca="true">OFFSET(CostSkill,AS630,0)-OFFSET(CostSkill,E94,0)</f>
        <v>200</v>
      </c>
      <c r="AU630" s="112" t="str">
        <f aca="false">G94</f>
        <v>P</v>
      </c>
      <c r="AV630" s="112" t="n">
        <f aca="false">AV629+IF(AND(AR630&lt;&gt;" ",AS630&gt;0),1,0)</f>
        <v>4</v>
      </c>
      <c r="AW630" s="324" t="n">
        <f aca="false">IF($BY630&lt;=AW$615,MATCH(BY630,AV$617:AV$763,0))</f>
        <v>80</v>
      </c>
      <c r="AX630" s="327" t="str">
        <f aca="false">IF(Discipline1&lt;&gt;"",HLOOKUP(Discipline1,knackfordic,BY627)," ")</f>
        <v>By the Fingernails</v>
      </c>
      <c r="AY630" s="329" t="n">
        <f aca="false">MATCH(AX630,Talents!G$3:G$210)</f>
        <v>35</v>
      </c>
      <c r="AZ630" s="329" t="str">
        <f aca="true">IF(AY630,OFFSET(Talents!H$2,Build!AY630,0)," ")</f>
        <v>Climbing</v>
      </c>
      <c r="BA630" s="112" t="n">
        <f aca="true">IF(AY630,OFFSET(Talents!J$2,Build!AY630,0)," ")</f>
        <v>4</v>
      </c>
      <c r="BB630" s="112" t="n">
        <f aca="true">IF(AY630,OFFSET(Talents!I$2,Build!AY630,0)," ")</f>
        <v>5</v>
      </c>
      <c r="BC630" s="112" t="n">
        <f aca="true">IF(AY630,OFFSET(Talents!K$2,Build!AY630,0)," ")</f>
        <v>2100</v>
      </c>
      <c r="BD630" s="112" t="n">
        <f aca="true">IF(AX$663=" ",OFFSET(E$615,MATCH(AZ630,D$616:D$656,0),0),IF(ISERROR(MATCH(AZ630,D$657:D$697,0)),OFFSET(E$615,MATCH(AZ630,D$616:D$656,0),0),IF(OFFSET(E$615,MATCH(AZ630,D$616:D$656,0),0)&gt;OFFSET(E$656,MATCH(AZ630,D$657:D$697,0),0),OFFSET(E$615,MATCH(AZ630,D$616:D$656,0),0),OFFSET(E$656,MATCH(AZ630,D$657:D$697,0),0))))</f>
        <v>5</v>
      </c>
      <c r="BE630" s="112" t="n">
        <f aca="false">BE629+IF(ISERROR(BD630), 0, IF(BD630&gt;=BB630, 1, 0))</f>
        <v>10</v>
      </c>
      <c r="BF630" s="324" t="n">
        <f aca="false">IF($BY630&lt;=BF$615,MATCH(BY630,BE$617:BE$681,0))</f>
        <v>24</v>
      </c>
      <c r="BG630" s="112" t="n">
        <f aca="false">BG629+IF(AND(K49&lt;&gt;" ",N49&lt;&gt;""),1,0)</f>
        <v>1</v>
      </c>
      <c r="BH630" s="112" t="n">
        <f aca="false">IF($BY630&lt;=BH$615,MATCH(BY630,BG$617:BG$649,0))</f>
        <v>0</v>
      </c>
      <c r="BI630" s="324" t="n">
        <f aca="true">IF(BH630,OFFSET(Q$35,BH630,0),0)</f>
        <v>0</v>
      </c>
      <c r="BJ630" s="329" t="str">
        <f aca="false">IF(P193&lt;&gt;"",M193," ")</f>
        <v> </v>
      </c>
      <c r="BK630" s="112" t="n">
        <f aca="false">IF(P193="",0,Q193)</f>
        <v>0</v>
      </c>
      <c r="BL630" s="112" t="n">
        <f aca="false">BL629+IF(BJ630&lt;&gt;" ",BK630,0)</f>
        <v>2</v>
      </c>
      <c r="BM630" s="112" t="n">
        <f aca="false">R193</f>
        <v>0</v>
      </c>
      <c r="BN630" s="112" t="n">
        <f aca="false">BN629+IF(BJ630&lt;&gt;" ",BM630,0)</f>
        <v>0</v>
      </c>
      <c r="BO630" s="329" t="str">
        <f aca="false">BO631&amp;IF(BJ630&lt;&gt;" ",", "&amp;BJ630&amp;" ("&amp;BK630&amp;")","")</f>
        <v>, Karma (3), Horror Fend (3)</v>
      </c>
      <c r="BP630" s="327" t="n">
        <f aca="false">BP629+IF(BJ630&lt;&gt;" ",1,0)</f>
        <v>1</v>
      </c>
      <c r="BQ630" s="332" t="n">
        <f aca="false">IF($BY630&lt;=BP$670,(MATCH(($BY630-10),BP$627:BP$669,0)+10))</f>
        <v>0</v>
      </c>
      <c r="BR630" s="56"/>
      <c r="BS630" s="56"/>
      <c r="BT630" s="56"/>
      <c r="BU630" s="56"/>
      <c r="BV630" s="56"/>
      <c r="BW630" s="56"/>
      <c r="BX630" s="338"/>
      <c r="BY630" s="324" t="n">
        <f aca="false">BY629+1</f>
        <v>14</v>
      </c>
      <c r="BZ630" s="329" t="str">
        <f aca="false">B248</f>
        <v>Brooch, Plain brass</v>
      </c>
      <c r="CA630" s="112" t="n">
        <f aca="false">E248</f>
        <v>0</v>
      </c>
      <c r="CB630" s="112" t="n">
        <f aca="false">F248</f>
        <v>2</v>
      </c>
      <c r="CC630" s="112" t="s">
        <v>301</v>
      </c>
      <c r="CD630" s="329" t="n">
        <f aca="false">FIND(",",BZ630)</f>
        <v>7</v>
      </c>
      <c r="CE630" s="329" t="str">
        <f aca="false">IF(ISERROR(CD630),BZ630,MID(BZ630,CD630+2,20)&amp;" "&amp;LEFT(BZ630,CD630-1))&amp;IF(ISERROR(VALUE(CA630)),"",IF(CA630&gt;1," ("&amp;CA630&amp;")",""))</f>
        <v>Plain brass Brooch</v>
      </c>
      <c r="CF630" s="329" t="str">
        <f aca="false">IF(CC630=" "," ",IF(ISERROR(VALUE(CA630)),CC630,CA630*CC630))</f>
        <v> </v>
      </c>
      <c r="CG630" s="112" t="n">
        <f aca="false">CG629+IF(AND(BZ630&lt;&gt;0,CA630&lt;&gt;0),1,0)</f>
        <v>1</v>
      </c>
      <c r="CH630" s="112" t="n">
        <f aca="false">IF($BY630&lt;=CH$615,MATCH($BY630,CG$617:CG$863,0))</f>
        <v>83</v>
      </c>
    </row>
    <row r="631" s="32" customFormat="true" ht="12.75" hidden="false" customHeight="false" outlineLevel="0" collapsed="false">
      <c r="B631" s="279" t="n">
        <v>5</v>
      </c>
      <c r="C631" s="67" t="str">
        <f aca="false">AQ32</f>
        <v>Disarm Trap</v>
      </c>
      <c r="D631" s="67" t="str">
        <f aca="false">IF(RIGHT(C631, 3)="(D)",LEFT(C631,LEN(C631)-4),C631)</f>
        <v>Disarm Trap</v>
      </c>
      <c r="E631" s="64" t="n">
        <f aca="false">F32</f>
        <v>8</v>
      </c>
      <c r="F631" s="182" t="n">
        <f aca="true">OFFSET(Cost_5_8,E631,0)</f>
        <v>14100</v>
      </c>
      <c r="G631" s="64" t="n">
        <f aca="false">IF(C631&lt;&gt;" ",MATCH(D631,Talents!B$3:B$345,1),0)</f>
        <v>81</v>
      </c>
      <c r="H631" s="64" t="str">
        <f aca="true">IF(G631=0," ",OFFSET(Talents!C$2,G631,0))</f>
        <v>D</v>
      </c>
      <c r="I631" s="64" t="n">
        <f aca="false">IF(E631&gt;0,G32,0)</f>
        <v>1</v>
      </c>
      <c r="J631" s="64" t="n">
        <f aca="false">IF(H631&lt;&gt;" ",E631+VLOOKUP(H631,G$597:L$603,6,0)+I631," ")</f>
        <v>16</v>
      </c>
      <c r="K631" s="64" t="str">
        <f aca="true">IF(J631&lt;&gt;" ",OFFSET(ActionDice,J631,0),"-")</f>
        <v>d12 +d8 + d6</v>
      </c>
      <c r="L631" s="67" t="n">
        <f aca="false">OR(RIGHT(C631, 3)="(D)", NOT(ISERROR(MATCH(D631&amp;" (D)", C$657:C$697, 0))))</f>
        <v>0</v>
      </c>
      <c r="M631" s="64" t="str">
        <f aca="true">IF(G631&gt;0,IF(L631,"D",OFFSET(Talents!D$2,G631,0))&amp;OFFSET(Talents!E$2,G631,0)," ")</f>
        <v>-/A/1</v>
      </c>
      <c r="N631" s="64" t="n">
        <f aca="false">AND(I32="",C631&lt;&gt;" ")</f>
        <v>1</v>
      </c>
      <c r="O631" s="300" t="n">
        <f aca="false">O630+IF(N630,1,0)</f>
        <v>13</v>
      </c>
      <c r="P631" s="324" t="n">
        <f aca="false">IF(Build!$BY631&lt;=Build!P$615,MATCH(Build!$BY631,Build!O$617:O$714,0))</f>
        <v>18</v>
      </c>
      <c r="Q631" s="112" t="n">
        <f aca="false">Q630+IF(E204&lt;&gt;"",1,0)</f>
        <v>0</v>
      </c>
      <c r="R631" s="324"/>
      <c r="S631" s="112" t="n">
        <f aca="false">S630+IF(E129&lt;&gt;"",1,0)</f>
        <v>1</v>
      </c>
      <c r="T631" s="112"/>
      <c r="U631" s="300" t="n">
        <f aca="false">U630+IF(B407&lt;&gt;"",1,0)</f>
        <v>0</v>
      </c>
      <c r="V631" s="112" t="n">
        <f aca="false">V630+IF(B439&lt;&gt;"",1,0)</f>
        <v>0</v>
      </c>
      <c r="W631" s="112" t="n">
        <f aca="false">W630+IF(B471&lt;&gt;"",1,0)</f>
        <v>0</v>
      </c>
      <c r="X631" s="112" t="n">
        <f aca="false">X630+IF(B503&lt;&gt;"",1,0)</f>
        <v>0</v>
      </c>
      <c r="Y631" s="112" t="n">
        <f aca="false">Y630+IF(B535&lt;&gt;"",1,0)</f>
        <v>0</v>
      </c>
      <c r="Z631" s="324" t="n">
        <f aca="false">IF(B567&lt;&gt;"",1,0)</f>
        <v>0</v>
      </c>
      <c r="AA631" s="300" t="n">
        <f aca="false">IF($BY631&lt;=U$615,MATCH($BY631,U$617:U$737,0))</f>
        <v>0</v>
      </c>
      <c r="AB631" s="112" t="n">
        <f aca="false">IF($BY631&lt;=V$615,MATCH($BY631,V$617:V$737,0))</f>
        <v>0</v>
      </c>
      <c r="AC631" s="112" t="n">
        <f aca="false">IF($BY631&lt;=W$615,MATCH($BY631,W$617:W$737,0))</f>
        <v>0</v>
      </c>
      <c r="AD631" s="112" t="n">
        <f aca="false">IF($BY631&lt;=X$615,MATCH($BY631,X$617:X$737,0))</f>
        <v>0</v>
      </c>
      <c r="AE631" s="112" t="n">
        <f aca="false">IF($BY631&lt;=Y$615,MATCH($BY631,Y$617:Y$737,0))</f>
        <v>0</v>
      </c>
      <c r="AF631" s="324" t="n">
        <f aca="false">IF($BY631&lt;=Z$615,MATCH($BY631,Z$617:Z$737,0))</f>
        <v>0</v>
      </c>
      <c r="AG631" s="325" t="str">
        <f aca="true">IF(AND(AA631&lt;="",AP22=""),OFFSET(Spells!H$2,AA631,0),"")</f>
        <v>Effect</v>
      </c>
      <c r="AH631" s="325" t="str">
        <f aca="true">IF(AND(AB631&lt;="",AP22=""),OFFSET(Spells!R$2,AB631,0),"")</f>
        <v>Effect</v>
      </c>
      <c r="AI631" s="325" t="str">
        <f aca="true">IF(AND(AC631&lt;="",AP22=""),OFFSET(Spells!AB$2,AC631,0),"")</f>
        <v>Effect</v>
      </c>
      <c r="AJ631" s="326" t="str">
        <f aca="true">IF(AND(AD631&lt;="",AP22=""),OFFSET(Spells!AL$2,AD631,0),"")</f>
        <v>Effect</v>
      </c>
      <c r="AK631" s="326" t="str">
        <f aca="true">IF(AND(AE631&lt;="",AP22=""),OFFSET(Spells!AV$2,AE631,0),"")</f>
        <v>Effect</v>
      </c>
      <c r="AL631" s="325" t="str">
        <f aca="true">IF(AND(AF631&lt;="",AP22=""),OFFSET(Spells!$H$2,AF631,0),"")</f>
        <v>Effect</v>
      </c>
      <c r="AM631" s="327" t="str">
        <f aca="false">IF(L66&lt;&gt;"",L66," ")</f>
        <v>Rękawice Kowenas</v>
      </c>
      <c r="AN631" s="112" t="n">
        <f aca="false">IF(AM631&gt;0, O66, 0)</f>
        <v>4</v>
      </c>
      <c r="AO631" s="112" t="n">
        <f aca="false">IF(AN631&gt;0,Q66,0)</f>
        <v>1100</v>
      </c>
      <c r="AP631" s="112" t="n">
        <f aca="false">AP630+IF(AND(AM631&lt;&gt;" ",AN631&gt;0),1,0)</f>
        <v>2</v>
      </c>
      <c r="AQ631" s="324" t="n">
        <f aca="false">IF($BY631&lt;=AQ$615,MATCH($BY631,AP$617:AP$656,0))</f>
        <v>0</v>
      </c>
      <c r="AR631" s="327" t="str">
        <f aca="false">B95&amp;IF(H95&lt;&gt;""," ("&amp;H95&amp;")","")</f>
        <v>Secret Societies</v>
      </c>
      <c r="AS631" s="112" t="n">
        <f aca="false">F95</f>
        <v>1</v>
      </c>
      <c r="AT631" s="112" t="n">
        <f aca="true">OFFSET(CostSkill,AS631,0)-OFFSET(CostSkill,E95,0)</f>
        <v>200</v>
      </c>
      <c r="AU631" s="112" t="str">
        <f aca="false">G95</f>
        <v>P</v>
      </c>
      <c r="AV631" s="112" t="n">
        <f aca="false">AV630+IF(AND(AR631&lt;&gt;" ",AS631&gt;0),1,0)</f>
        <v>5</v>
      </c>
      <c r="AW631" s="324" t="n">
        <f aca="false">IF($BY631&lt;=AW$615,MATCH(BY631,AV$617:AV$763,0))</f>
        <v>89</v>
      </c>
      <c r="AX631" s="327" t="str">
        <f aca="false">IF(Discipline1&lt;&gt;"",HLOOKUP(Discipline1,knackfordic,BY628)," ")</f>
        <v>Cover</v>
      </c>
      <c r="AY631" s="329" t="n">
        <f aca="false">MATCH(AX631,Talents!G$3:G$210)</f>
        <v>44</v>
      </c>
      <c r="AZ631" s="329" t="str">
        <f aca="true">IF(AY631,OFFSET(Talents!H$2,Build!AY631,0)," ")</f>
        <v>Avoid Blow</v>
      </c>
      <c r="BA631" s="112" t="n">
        <f aca="true">IF(AY631,OFFSET(Talents!J$2,Build!AY631,0)," ")</f>
        <v>1</v>
      </c>
      <c r="BB631" s="112" t="n">
        <f aca="true">IF(AY631,OFFSET(Talents!I$2,Build!AY631,0)," ")</f>
        <v>4</v>
      </c>
      <c r="BC631" s="112" t="n">
        <f aca="true">IF(AY631,OFFSET(Talents!K$2,Build!AY631,0)," ")</f>
        <v>1300</v>
      </c>
      <c r="BD631" s="112" t="e">
        <f aca="true">IF(AX$663=" ",OFFSET(E$615,MATCH(AZ631,D$616:D$656,0),0),IF(ISERROR(MATCH(AZ631,D$657:D$697,0)),OFFSET(E$615,MATCH(AZ631,D$616:D$656,0),0),IF(OFFSET(E$615,MATCH(AZ631,D$616:D$656,0),0)&gt;OFFSET(E$656,MATCH(AZ631,D$657:D$697,0),0),OFFSET(E$615,MATCH(AZ631,D$616:D$656,0),0),OFFSET(E$656,MATCH(AZ631,D$657:D$697,0),0))))</f>
        <v>#N/A</v>
      </c>
      <c r="BE631" s="112" t="n">
        <f aca="false">BE630+IF(ISERROR(BD631), 0, IF(BD631&gt;=BB631, 1, 0))</f>
        <v>10</v>
      </c>
      <c r="BF631" s="324" t="n">
        <f aca="false">IF($BY631&lt;=BF$615,MATCH(BY631,BE$617:BE$681,0))</f>
        <v>27</v>
      </c>
      <c r="BG631" s="112" t="n">
        <f aca="false">BG630+IF(AND(K50&lt;&gt;" ",N50&lt;&gt;""),1,0)</f>
        <v>1</v>
      </c>
      <c r="BH631" s="112" t="n">
        <f aca="false">IF($BY631&lt;=BH$615,MATCH(BY631,BG$617:BG$649,0))</f>
        <v>0</v>
      </c>
      <c r="BI631" s="324" t="n">
        <f aca="true">IF(BH631,OFFSET(Q$35,BH631,0),0)</f>
        <v>0</v>
      </c>
      <c r="BJ631" s="329" t="str">
        <f aca="false">IF(P194&lt;&gt;"",M194," ")</f>
        <v> </v>
      </c>
      <c r="BK631" s="112" t="n">
        <f aca="false">IF(P194="",0,Q194)</f>
        <v>0</v>
      </c>
      <c r="BL631" s="112" t="n">
        <f aca="false">BL630+IF(BJ631&lt;&gt;" ",BK631,0)</f>
        <v>2</v>
      </c>
      <c r="BM631" s="112" t="n">
        <f aca="false">R194</f>
        <v>1</v>
      </c>
      <c r="BN631" s="112" t="n">
        <f aca="false">BN630+IF(BJ631&lt;&gt;" ",BM631,0)</f>
        <v>0</v>
      </c>
      <c r="BO631" s="329" t="str">
        <f aca="false">BO632&amp;IF(BJ631&lt;&gt;" ",", "&amp;BJ631&amp;" ("&amp;BK631&amp;")","")</f>
        <v>, Karma (3), Horror Fend (3)</v>
      </c>
      <c r="BP631" s="327" t="n">
        <f aca="false">BP630+IF(BJ631&lt;&gt;" ",1,0)</f>
        <v>1</v>
      </c>
      <c r="BQ631" s="332" t="n">
        <f aca="false">IF($BY631&lt;=BP$670,(MATCH(($BY631-10),BP$627:BP$669,0)+10))</f>
        <v>0</v>
      </c>
      <c r="BY631" s="333" t="n">
        <f aca="false">BY630+1</f>
        <v>15</v>
      </c>
      <c r="BZ631" s="329" t="str">
        <f aca="false">B249</f>
        <v>Brooch, Ornamental</v>
      </c>
      <c r="CA631" s="112" t="n">
        <f aca="false">E249</f>
        <v>0</v>
      </c>
      <c r="CB631" s="112" t="n">
        <f aca="false">F249</f>
        <v>12</v>
      </c>
      <c r="CC631" s="112" t="s">
        <v>301</v>
      </c>
      <c r="CD631" s="329" t="n">
        <f aca="false">FIND(",",BZ631)</f>
        <v>7</v>
      </c>
      <c r="CE631" s="329" t="str">
        <f aca="false">IF(ISERROR(CD631),BZ631,MID(BZ631,CD631+2,20)&amp;" "&amp;LEFT(BZ631,CD631-1))&amp;IF(ISERROR(VALUE(CA631)),"",IF(CA631&gt;1," ("&amp;CA631&amp;")",""))</f>
        <v>Ornamental Brooch</v>
      </c>
      <c r="CF631" s="329" t="str">
        <f aca="false">IF(CC631=" "," ",IF(ISERROR(VALUE(CA631)),CC631,CA631*CC631))</f>
        <v> </v>
      </c>
      <c r="CG631" s="112" t="n">
        <f aca="false">CG630+IF(AND(BZ631&lt;&gt;0,CA631&lt;&gt;0),1,0)</f>
        <v>1</v>
      </c>
      <c r="CH631" s="112" t="n">
        <f aca="false">IF($BY631&lt;=CH$615,MATCH($BY631,CG$617:CG$863,0))</f>
        <v>84</v>
      </c>
    </row>
    <row r="632" s="32" customFormat="true" ht="12.75" hidden="false" customHeight="false" outlineLevel="0" collapsed="false">
      <c r="B632" s="279" t="n">
        <v>5</v>
      </c>
      <c r="C632" s="67" t="n">
        <f aca="false">AQ33</f>
        <v>0</v>
      </c>
      <c r="D632" s="67" t="n">
        <f aca="false">IF(RIGHT(C632, 3)="(D)",LEFT(C632,LEN(C632)-4),C632)</f>
        <v>0</v>
      </c>
      <c r="E632" s="64" t="n">
        <f aca="false">F33</f>
        <v>0</v>
      </c>
      <c r="F632" s="182" t="n">
        <f aca="true">OFFSET(Cost_5_8,E632,0)</f>
        <v>0</v>
      </c>
      <c r="G632" s="64" t="e">
        <f aca="false">IF(C632&lt;&gt;" ",MATCH(D632,Talents!B$3:B$345,1),0)</f>
        <v>#N/A</v>
      </c>
      <c r="H632" s="64" t="e">
        <f aca="true">IF(G632=0," ",OFFSET(Talents!C$2,G632,0))</f>
        <v>#N/A</v>
      </c>
      <c r="I632" s="64" t="n">
        <f aca="false">IF(E632&gt;0,G33,0)</f>
        <v>0</v>
      </c>
      <c r="J632" s="64" t="e">
        <f aca="false">IF(H632&lt;&gt;" ",E632+VLOOKUP(H632,G$597:L$603,6,0)+I632," ")</f>
        <v>#N/A</v>
      </c>
      <c r="K632" s="64" t="e">
        <f aca="true">IF(J632&lt;&gt;" ",OFFSET(ActionDice,J632,0),"-")</f>
        <v>#N/A</v>
      </c>
      <c r="L632" s="67" t="n">
        <f aca="false">OR(RIGHT(C632, 3)="(D)", NOT(ISERROR(MATCH(D632&amp;" (D)", C$657:C$697, 0))))</f>
        <v>0</v>
      </c>
      <c r="M632" s="64" t="e">
        <f aca="true">IF(G632&gt;0,IF(L632,"D",OFFSET(Talents!D$2,G632,0))&amp;OFFSET(Talents!E$2,G632,0)," ")</f>
        <v>#N/A</v>
      </c>
      <c r="N632" s="64" t="n">
        <f aca="false">AND(I33="",C632&lt;&gt;" ")</f>
        <v>0</v>
      </c>
      <c r="O632" s="300" t="n">
        <f aca="false">O631+IF(N631,1,0)</f>
        <v>14</v>
      </c>
      <c r="P632" s="324" t="n">
        <f aca="false">IF(Build!$BY632&lt;=Build!P$615,MATCH(Build!$BY632,Build!O$617:O$714,0))</f>
        <v>19</v>
      </c>
      <c r="Q632" s="112" t="n">
        <f aca="false">Q631+IF(E205&lt;&gt;"",1,0)</f>
        <v>0</v>
      </c>
      <c r="R632" s="324"/>
      <c r="S632" s="112" t="n">
        <f aca="false">S631+IF(E130&lt;&gt;"",1,0)</f>
        <v>1</v>
      </c>
      <c r="T632" s="112"/>
      <c r="U632" s="300" t="n">
        <f aca="false">U631+IF(B408&lt;&gt;"",1,0)</f>
        <v>0</v>
      </c>
      <c r="V632" s="112" t="n">
        <f aca="false">V631+IF(B440&lt;&gt;"",1,0)</f>
        <v>0</v>
      </c>
      <c r="W632" s="112" t="n">
        <f aca="false">W631+IF(B472&lt;&gt;"",1,0)</f>
        <v>0</v>
      </c>
      <c r="X632" s="112" t="n">
        <f aca="false">X631+IF(B504&lt;&gt;"",1,0)</f>
        <v>0</v>
      </c>
      <c r="Y632" s="112" t="n">
        <f aca="false">Y631+IF(B536&lt;&gt;"",1,0)</f>
        <v>0</v>
      </c>
      <c r="Z632" s="324" t="n">
        <f aca="false">IF(B568&lt;&gt;"",1,0)</f>
        <v>0</v>
      </c>
      <c r="AA632" s="300" t="n">
        <f aca="false">IF($BY632&lt;=U$615,MATCH($BY632,U$617:U$737,0))</f>
        <v>0</v>
      </c>
      <c r="AB632" s="112" t="n">
        <f aca="false">IF($BY632&lt;=V$615,MATCH($BY632,V$617:V$737,0))</f>
        <v>0</v>
      </c>
      <c r="AC632" s="112" t="n">
        <f aca="false">IF($BY632&lt;=W$615,MATCH($BY632,W$617:W$737,0))</f>
        <v>0</v>
      </c>
      <c r="AD632" s="112" t="n">
        <f aca="false">IF($BY632&lt;=X$615,MATCH($BY632,X$617:X$737,0))</f>
        <v>0</v>
      </c>
      <c r="AE632" s="112" t="n">
        <f aca="false">IF($BY632&lt;=Y$615,MATCH($BY632,Y$617:Y$737,0))</f>
        <v>0</v>
      </c>
      <c r="AF632" s="324" t="n">
        <f aca="false">IF($BY632&lt;=Z$615,MATCH($BY632,Z$617:Z$737,0))</f>
        <v>0</v>
      </c>
      <c r="AG632" s="325" t="str">
        <f aca="true">IF(AND(AA632&lt;="",AP23=""),OFFSET(Spells!H$2,AA632,0),"")</f>
        <v>Effect</v>
      </c>
      <c r="AH632" s="325" t="str">
        <f aca="true">IF(AND(AB632&lt;="",AP23=""),OFFSET(Spells!R$2,AB632,0),"")</f>
        <v>Effect</v>
      </c>
      <c r="AI632" s="325" t="str">
        <f aca="true">IF(AND(AC632&lt;="",AP23=""),OFFSET(Spells!AB$2,AC632,0),"")</f>
        <v>Effect</v>
      </c>
      <c r="AJ632" s="326" t="str">
        <f aca="true">IF(AND(AD632&lt;="",AP23=""),OFFSET(Spells!AL$2,AD632,0),"")</f>
        <v>Effect</v>
      </c>
      <c r="AK632" s="326" t="str">
        <f aca="true">IF(AND(AE632&lt;="",AP23=""),OFFSET(Spells!AV$2,AE632,0),"")</f>
        <v>Effect</v>
      </c>
      <c r="AL632" s="325" t="str">
        <f aca="true">IF(AND(AF632&lt;="",AP23=""),OFFSET(Spells!$H$2,AF632,0),"")</f>
        <v>Effect</v>
      </c>
      <c r="AM632" s="327" t="str">
        <f aca="false">IF(L67&lt;&gt;"",L67," ")</f>
        <v>Zbroja Osłona Obieżyświata</v>
      </c>
      <c r="AN632" s="112" t="n">
        <f aca="false">IF(AM632&gt;0, O67, 0)</f>
        <v>4</v>
      </c>
      <c r="AO632" s="112" t="n">
        <f aca="false">IF(AN632&gt;0,Q67,0)</f>
        <v>1100</v>
      </c>
      <c r="AP632" s="112" t="n">
        <f aca="false">AP631+IF(AND(AM632&lt;&gt;" ",AN632&gt;0),1,0)</f>
        <v>3</v>
      </c>
      <c r="AQ632" s="324"/>
      <c r="AR632" s="327" t="str">
        <f aca="false">B96&amp;IF(H96&lt;&gt;""," ("&amp;H96&amp;")","")</f>
        <v> </v>
      </c>
      <c r="AS632" s="112" t="n">
        <f aca="false">F96</f>
        <v>0</v>
      </c>
      <c r="AT632" s="112" t="n">
        <f aca="true">OFFSET(CostSkill,AS632,0)-OFFSET(CostSkill,E96,0)</f>
        <v>0</v>
      </c>
      <c r="AU632" s="112" t="str">
        <f aca="false">G96</f>
        <v> </v>
      </c>
      <c r="AV632" s="112" t="n">
        <f aca="false">AV631+IF(AND(AR632&lt;&gt;" ",AS632&gt;0),1,0)</f>
        <v>5</v>
      </c>
      <c r="AW632" s="324" t="n">
        <f aca="false">IF($BY632&lt;=AW$615,MATCH(BY632,AV$617:AV$763,0))</f>
        <v>103</v>
      </c>
      <c r="AX632" s="327" t="str">
        <f aca="false">IF(Discipline1&lt;&gt;"",HLOOKUP(Discipline1,knackfordic,BY629)," ")</f>
        <v>Creature Remains</v>
      </c>
      <c r="AY632" s="329" t="n">
        <f aca="false">MATCH(AX632,Talents!G$3:G$210)</f>
        <v>53</v>
      </c>
      <c r="AZ632" s="329" t="str">
        <f aca="true">IF(AY632,OFFSET(Talents!H$2,Build!AY632,0)," ")</f>
        <v>Creature Analysis</v>
      </c>
      <c r="BA632" s="112" t="n">
        <f aca="true">IF(AY632,OFFSET(Talents!J$2,Build!AY632,0)," ")</f>
        <v>2</v>
      </c>
      <c r="BB632" s="112" t="n">
        <f aca="true">IF(AY632,OFFSET(Talents!I$2,Build!AY632,0)," ")</f>
        <v>5</v>
      </c>
      <c r="BC632" s="112" t="n">
        <f aca="true">IF(AY632,OFFSET(Talents!K$2,Build!AY632,0)," ")</f>
        <v>2100</v>
      </c>
      <c r="BD632" s="112" t="e">
        <f aca="true">IF(AX$663=" ",OFFSET(E$615,MATCH(AZ632,D$616:D$656,0),0),IF(ISERROR(MATCH(AZ632,D$657:D$697,0)),OFFSET(E$615,MATCH(AZ632,D$616:D$656,0),0),IF(OFFSET(E$615,MATCH(AZ632,D$616:D$656,0),0)&gt;OFFSET(E$656,MATCH(AZ632,D$657:D$697,0),0),OFFSET(E$615,MATCH(AZ632,D$616:D$656,0),0),OFFSET(E$656,MATCH(AZ632,D$657:D$697,0),0))))</f>
        <v>#N/A</v>
      </c>
      <c r="BE632" s="112" t="n">
        <f aca="false">BE631+IF(ISERROR(BD632), 0, IF(BD632&gt;=BB632, 1, 0))</f>
        <v>10</v>
      </c>
      <c r="BF632" s="324" t="n">
        <f aca="false">IF($BY632&lt;=BF$615,MATCH(BY632,BE$617:BE$681,0))</f>
        <v>28</v>
      </c>
      <c r="BG632" s="112" t="n">
        <f aca="false">BG631+IF(AND(K51&lt;&gt;" ",N51&lt;&gt;""),1,0)</f>
        <v>1</v>
      </c>
      <c r="BH632" s="112" t="n">
        <f aca="false">IF($BY632&lt;=BH$615,MATCH(BY632,BG$617:BG$649,0))</f>
        <v>0</v>
      </c>
      <c r="BI632" s="324" t="n">
        <f aca="true">IF(BH632,OFFSET(Q$35,BH632,0),0)</f>
        <v>0</v>
      </c>
      <c r="BJ632" s="329" t="str">
        <f aca="false">IF(P195&lt;&gt;"",M195," ")</f>
        <v> </v>
      </c>
      <c r="BK632" s="112" t="n">
        <f aca="false">IF(P195="",0,Q195)</f>
        <v>0</v>
      </c>
      <c r="BL632" s="112" t="n">
        <f aca="false">BL631+IF(BJ632&lt;&gt;" ",BK632,0)</f>
        <v>2</v>
      </c>
      <c r="BM632" s="112" t="n">
        <f aca="false">R195</f>
        <v>0</v>
      </c>
      <c r="BN632" s="112" t="n">
        <f aca="false">BN631+IF(BJ632&lt;&gt;" ",BM632,0)</f>
        <v>0</v>
      </c>
      <c r="BO632" s="329" t="str">
        <f aca="false">BO633&amp;IF(BJ632&lt;&gt;" ",", "&amp;BJ632&amp;" ("&amp;BK632&amp;")","")</f>
        <v>, Karma (3), Horror Fend (3)</v>
      </c>
      <c r="BP632" s="327" t="n">
        <f aca="false">BP631+IF(BJ632&lt;&gt;" ",1,0)</f>
        <v>1</v>
      </c>
      <c r="BQ632" s="332" t="n">
        <f aca="false">IF($BY632&lt;=BP$670,(MATCH(($BY632-10),BP$627:BP$669,0)+10))</f>
        <v>0</v>
      </c>
      <c r="BY632" s="333" t="n">
        <f aca="false">BY631+1</f>
        <v>16</v>
      </c>
      <c r="BZ632" s="329" t="str">
        <f aca="false">B250</f>
        <v>Brooch, Silver</v>
      </c>
      <c r="CA632" s="112" t="n">
        <f aca="false">E250</f>
        <v>0</v>
      </c>
      <c r="CB632" s="112" t="n">
        <f aca="false">F250</f>
        <v>15</v>
      </c>
      <c r="CC632" s="112" t="s">
        <v>301</v>
      </c>
      <c r="CD632" s="329" t="n">
        <f aca="false">FIND(",",BZ632)</f>
        <v>7</v>
      </c>
      <c r="CE632" s="329" t="str">
        <f aca="false">IF(ISERROR(CD632),BZ632,MID(BZ632,CD632+2,20)&amp;" "&amp;LEFT(BZ632,CD632-1))&amp;IF(ISERROR(VALUE(CA632)),"",IF(CA632&gt;1," ("&amp;CA632&amp;")",""))</f>
        <v>Silver Brooch</v>
      </c>
      <c r="CF632" s="329" t="str">
        <f aca="false">IF(CC632=" "," ",IF(ISERROR(VALUE(CA632)),CC632,CA632*CC632))</f>
        <v> </v>
      </c>
      <c r="CG632" s="112" t="n">
        <f aca="false">CG631+IF(AND(BZ632&lt;&gt;0,CA632&lt;&gt;0),1,0)</f>
        <v>1</v>
      </c>
      <c r="CH632" s="112" t="n">
        <f aca="false">IF($BY632&lt;=CH$615,MATCH($BY632,CG$617:CG$863,0))</f>
        <v>87</v>
      </c>
    </row>
    <row r="633" s="32" customFormat="true" ht="12.75" hidden="false" customHeight="false" outlineLevel="0" collapsed="false">
      <c r="B633" s="279" t="n">
        <v>6</v>
      </c>
      <c r="C633" s="67" t="str">
        <f aca="false">IF(Circle1&gt;=$B633,HLOOKUP(Discipline1,talentfordisc,1+BY634,0)," ")</f>
        <v>Astral Sight (D)</v>
      </c>
      <c r="D633" s="67" t="str">
        <f aca="false">IF(RIGHT(C633, 3)="(D)",LEFT(C633,LEN(C633)-4),C633)</f>
        <v>Astral Sight</v>
      </c>
      <c r="E633" s="64" t="n">
        <f aca="false">F34</f>
        <v>8</v>
      </c>
      <c r="F633" s="182" t="n">
        <f aca="true">OFFSET(Cost_5_8,E633,0)</f>
        <v>14100</v>
      </c>
      <c r="G633" s="64" t="n">
        <f aca="false">IF(C633&lt;&gt;" ",MATCH(D633,Talents!B$3:B$345,1),0)</f>
        <v>21</v>
      </c>
      <c r="H633" s="64" t="str">
        <f aca="true">IF(G633=0," ",OFFSET(Talents!C$2,G633,0))</f>
        <v>P</v>
      </c>
      <c r="I633" s="64" t="n">
        <f aca="false">IF(E633&gt;0,G34,0)</f>
        <v>0</v>
      </c>
      <c r="J633" s="64" t="n">
        <f aca="false">IF(H633&lt;&gt;" ",E633+VLOOKUP(H633,G$597:L$603,6,0)+I633," ")</f>
        <v>15</v>
      </c>
      <c r="K633" s="64" t="str">
        <f aca="true">IF(J633&lt;&gt;" ",OFFSET(ActionDice,J633,0),"-")</f>
        <v>d12 +2d6</v>
      </c>
      <c r="L633" s="67" t="n">
        <f aca="false">OR(RIGHT(C633, 3)="(D)", NOT(ISERROR(MATCH(D633&amp;" (D)", C$657:C$697, 0))))</f>
        <v>1</v>
      </c>
      <c r="M633" s="64" t="str">
        <f aca="true">IF(G633&gt;0,IF(L633,"D",OFFSET(Talents!D$2,G633,0))&amp;OFFSET(Talents!E$2,G633,0)," ")</f>
        <v>D/S/1</v>
      </c>
      <c r="N633" s="64" t="n">
        <f aca="false">AND(I34="",C633&lt;&gt;" ")</f>
        <v>1</v>
      </c>
      <c r="O633" s="300" t="n">
        <f aca="false">O632+IF(N632,1,0)</f>
        <v>14</v>
      </c>
      <c r="P633" s="324" t="n">
        <f aca="false">IF(Build!$BY633&lt;=Build!P$615,MATCH(Build!$BY633,Build!O$617:O$714,0))</f>
        <v>20</v>
      </c>
      <c r="Q633" s="112" t="n">
        <f aca="false">Q632+IF(E206&lt;&gt;"",1,0)</f>
        <v>0</v>
      </c>
      <c r="R633" s="324"/>
      <c r="S633" s="112" t="n">
        <f aca="false">S632+IF(E131&lt;&gt;"",1,0)</f>
        <v>1</v>
      </c>
      <c r="T633" s="112"/>
      <c r="U633" s="300" t="n">
        <f aca="false">U632+IF(B409&lt;&gt;"",1,0)</f>
        <v>0</v>
      </c>
      <c r="V633" s="112" t="n">
        <f aca="false">V632+IF(B441&lt;&gt;"",1,0)</f>
        <v>0</v>
      </c>
      <c r="W633" s="112" t="n">
        <f aca="false">W632+IF(B473&lt;&gt;"",1,0)</f>
        <v>0</v>
      </c>
      <c r="X633" s="112" t="n">
        <f aca="false">X632+IF(B505&lt;&gt;"",1,0)</f>
        <v>0</v>
      </c>
      <c r="Y633" s="112" t="n">
        <f aca="false">Y632+IF(B537&lt;&gt;"",1,0)</f>
        <v>0</v>
      </c>
      <c r="Z633" s="324" t="n">
        <f aca="false">IF(B569&lt;&gt;"",1,0)</f>
        <v>0</v>
      </c>
      <c r="AA633" s="300" t="n">
        <f aca="false">IF($BY633&lt;=U$615,MATCH($BY633,U$617:U$737,0))</f>
        <v>0</v>
      </c>
      <c r="AB633" s="112" t="n">
        <f aca="false">IF($BY633&lt;=V$615,MATCH($BY633,V$617:V$737,0))</f>
        <v>0</v>
      </c>
      <c r="AC633" s="112" t="n">
        <f aca="false">IF($BY633&lt;=W$615,MATCH($BY633,W$617:W$737,0))</f>
        <v>0</v>
      </c>
      <c r="AD633" s="112" t="n">
        <f aca="false">IF($BY633&lt;=X$615,MATCH($BY633,X$617:X$737,0))</f>
        <v>0</v>
      </c>
      <c r="AE633" s="112" t="n">
        <f aca="false">IF($BY633&lt;=Y$615,MATCH($BY633,Y$617:Y$737,0))</f>
        <v>0</v>
      </c>
      <c r="AF633" s="324" t="n">
        <f aca="false">IF($BY633&lt;=Z$615,MATCH($BY633,Z$617:Z$737,0))</f>
        <v>0</v>
      </c>
      <c r="AG633" s="325" t="str">
        <f aca="true">IF(AND(AA633&lt;="",AP24=""),OFFSET(Spells!H$2,AA633,0),"")</f>
        <v>Effect</v>
      </c>
      <c r="AH633" s="325" t="str">
        <f aca="true">IF(AND(AB633&lt;="",AP24=""),OFFSET(Spells!R$2,AB633,0),"")</f>
        <v>Effect</v>
      </c>
      <c r="AI633" s="325" t="str">
        <f aca="true">IF(AND(AC633&lt;="",AP24=""),OFFSET(Spells!AB$2,AC633,0),"")</f>
        <v>Effect</v>
      </c>
      <c r="AJ633" s="326" t="str">
        <f aca="true">IF(AND(AD633&lt;="",AP24=""),OFFSET(Spells!AL$2,AD633,0),"")</f>
        <v>Effect</v>
      </c>
      <c r="AK633" s="326" t="str">
        <f aca="true">IF(AND(AE633&lt;="",AP24=""),OFFSET(Spells!AV$2,AE633,0),"")</f>
        <v>Effect</v>
      </c>
      <c r="AL633" s="325" t="str">
        <f aca="true">IF(AND(AF633&lt;="",AP24=""),OFFSET(Spells!$H$2,AF633,0),"")</f>
        <v>Effect</v>
      </c>
      <c r="AM633" s="327" t="str">
        <f aca="false">IF(L68&lt;&gt;"",L68," ")</f>
        <v>Pierścien Obrony Manipur</v>
      </c>
      <c r="AN633" s="112" t="n">
        <f aca="false">IF(AM633&gt;0, O68, 0)</f>
        <v>4</v>
      </c>
      <c r="AO633" s="112" t="n">
        <f aca="false">IF(AN633&gt;0,Q68,0)</f>
        <v>1100</v>
      </c>
      <c r="AP633" s="112" t="n">
        <f aca="false">AP632+IF(AND(AM633&lt;&gt;" ",AN633&gt;0),1,0)</f>
        <v>4</v>
      </c>
      <c r="AQ633" s="324"/>
      <c r="AR633" s="327" t="str">
        <f aca="false">B97&amp;IF(H97&lt;&gt;""," ("&amp;H97&amp;")","")</f>
        <v> </v>
      </c>
      <c r="AS633" s="112" t="n">
        <f aca="false">F97</f>
        <v>0</v>
      </c>
      <c r="AT633" s="112" t="n">
        <f aca="true">OFFSET(CostSkill,AS633,0)-OFFSET(CostSkill,E97,0)</f>
        <v>0</v>
      </c>
      <c r="AU633" s="112" t="str">
        <f aca="false">G97</f>
        <v> </v>
      </c>
      <c r="AV633" s="112" t="n">
        <f aca="false">AV632+IF(AND(AR633&lt;&gt;" ",AS633&gt;0),1,0)</f>
        <v>5</v>
      </c>
      <c r="AW633" s="324" t="n">
        <f aca="false">IF($BY633&lt;=AW$615,MATCH(BY633,AV$617:AV$763,0))</f>
        <v>115</v>
      </c>
      <c r="AX633" s="327" t="str">
        <f aca="false">IF(Discipline1&lt;&gt;"",HLOOKUP(Discipline1,knackfordic,BY630)," ")</f>
        <v>Deflect Blow</v>
      </c>
      <c r="AY633" s="329" t="n">
        <f aca="false">MATCH(AX633,Talents!G$3:G$210)</f>
        <v>56</v>
      </c>
      <c r="AZ633" s="329" t="str">
        <f aca="true">IF(AY633,OFFSET(Talents!H$2,Build!AY633,0)," ")</f>
        <v>Melee Weapons</v>
      </c>
      <c r="BA633" s="112" t="n">
        <f aca="true">IF(AY633,OFFSET(Talents!J$2,Build!AY633,0)," ")</f>
        <v>1</v>
      </c>
      <c r="BB633" s="112" t="n">
        <f aca="true">IF(AY633,OFFSET(Talents!I$2,Build!AY633,0)," ")</f>
        <v>6</v>
      </c>
      <c r="BC633" s="112" t="n">
        <f aca="true">IF(AY633,OFFSET(Talents!K$2,Build!AY633,0)," ")</f>
        <v>3400</v>
      </c>
      <c r="BD633" s="112" t="n">
        <f aca="true">IF(AX$663=" ",OFFSET(E$615,MATCH(AZ633,D$616:D$656,0),0),IF(ISERROR(MATCH(AZ633,D$657:D$697,0)),OFFSET(E$615,MATCH(AZ633,D$616:D$656,0),0),IF(OFFSET(E$615,MATCH(AZ633,D$616:D$656,0),0)&gt;OFFSET(E$656,MATCH(AZ633,D$657:D$697,0),0),OFFSET(E$615,MATCH(AZ633,D$616:D$656,0),0),OFFSET(E$656,MATCH(AZ633,D$657:D$697,0),0))))</f>
        <v>8</v>
      </c>
      <c r="BE633" s="112" t="n">
        <f aca="false">BE632+IF(ISERROR(BD633), 0, IF(BD633&gt;=BB633, 1, 0))</f>
        <v>11</v>
      </c>
      <c r="BF633" s="324" t="n">
        <f aca="false">IF($BY633&lt;=BF$615,MATCH(BY633,BE$617:BE$681,0))</f>
        <v>30</v>
      </c>
      <c r="BG633" s="112" t="n">
        <f aca="false">BG632+IF(AND(K52&lt;&gt;" ",N52&lt;&gt;""),1,0)</f>
        <v>1</v>
      </c>
      <c r="BH633" s="112" t="n">
        <f aca="false">IF($BY633&lt;=BH$615,MATCH(BY633,BG$617:BG$649,0))</f>
        <v>0</v>
      </c>
      <c r="BI633" s="324" t="n">
        <f aca="true">IF(BH633,OFFSET(Q$35,BH633,0),0)</f>
        <v>0</v>
      </c>
      <c r="BJ633" s="329" t="str">
        <f aca="false">IF(P196&lt;&gt;"",M196," ")</f>
        <v> </v>
      </c>
      <c r="BK633" s="112" t="n">
        <f aca="false">IF(P196="",0,Q196)</f>
        <v>0</v>
      </c>
      <c r="BL633" s="112" t="n">
        <f aca="false">BL632+IF(BJ633&lt;&gt;" ",BK633,0)</f>
        <v>2</v>
      </c>
      <c r="BM633" s="112" t="n">
        <f aca="false">R196</f>
        <v>1</v>
      </c>
      <c r="BN633" s="112" t="n">
        <f aca="false">BN632+IF(BJ633&lt;&gt;" ",BM633,0)</f>
        <v>0</v>
      </c>
      <c r="BO633" s="329" t="str">
        <f aca="false">BO634&amp;IF(BJ633&lt;&gt;" ",", "&amp;BJ633&amp;" ("&amp;BK633&amp;")","")</f>
        <v>, Karma (3), Horror Fend (3)</v>
      </c>
      <c r="BP633" s="327" t="n">
        <f aca="false">BP632+IF(BJ633&lt;&gt;" ",1,0)</f>
        <v>1</v>
      </c>
      <c r="BQ633" s="332" t="n">
        <f aca="false">IF($BY633&lt;=BP$670,(MATCH(($BY633-10),BP$627:BP$669,0)+10))</f>
        <v>0</v>
      </c>
      <c r="BY633" s="333" t="n">
        <f aca="false">BY632+1</f>
        <v>17</v>
      </c>
      <c r="BZ633" s="329" t="str">
        <f aca="false">H235</f>
        <v>Brooch, Gold</v>
      </c>
      <c r="CA633" s="112" t="n">
        <f aca="false">K235</f>
        <v>0</v>
      </c>
      <c r="CB633" s="112" t="n">
        <f aca="false">L235</f>
        <v>120</v>
      </c>
      <c r="CC633" s="112" t="s">
        <v>301</v>
      </c>
      <c r="CD633" s="329" t="n">
        <f aca="false">FIND(",",BZ633)</f>
        <v>7</v>
      </c>
      <c r="CE633" s="329" t="str">
        <f aca="false">IF(ISERROR(CD633),BZ633,MID(BZ633,CD633+2,20)&amp;" "&amp;LEFT(BZ633,CD633-1))&amp;IF(ISERROR(VALUE(CA633)),"",IF(CA633&gt;1," ("&amp;CA633&amp;")",""))</f>
        <v>Gold Brooch</v>
      </c>
      <c r="CF633" s="329" t="str">
        <f aca="false">IF(CC633=" "," ",IF(ISERROR(VALUE(CA633)),CC633,CA633*CC633))</f>
        <v> </v>
      </c>
      <c r="CG633" s="112" t="n">
        <f aca="false">CG632+IF(AND(BZ633&lt;&gt;0,CA633&lt;&gt;0),1,0)</f>
        <v>1</v>
      </c>
      <c r="CH633" s="112" t="n">
        <f aca="false">IF($BY633&lt;=CH$615,MATCH($BY633,CG$617:CG$863,0))</f>
        <v>88</v>
      </c>
    </row>
    <row r="634" s="32" customFormat="true" ht="12.8" hidden="false" customHeight="false" outlineLevel="0" collapsed="false">
      <c r="B634" s="279" t="n">
        <v>6</v>
      </c>
      <c r="C634" s="67" t="str">
        <f aca="false">AQ35</f>
        <v>Lock Picking</v>
      </c>
      <c r="D634" s="67" t="str">
        <f aca="false">IF(RIGHT(C634, 3)="(D)",LEFT(C634,LEN(C634)-4),C634)</f>
        <v>Lock Picking</v>
      </c>
      <c r="E634" s="64" t="n">
        <f aca="false">F35</f>
        <v>8</v>
      </c>
      <c r="F634" s="182" t="n">
        <f aca="true">OFFSET(Cost_5_8,E634,0)</f>
        <v>14100</v>
      </c>
      <c r="G634" s="64" t="n">
        <f aca="false">IF(C634&lt;&gt;" ",MATCH(D634,Talents!B$3:B$345,1),0)</f>
        <v>165</v>
      </c>
      <c r="H634" s="64" t="str">
        <f aca="true">IF(G634=0," ",OFFSET(Talents!C$2,G634,0))</f>
        <v>D</v>
      </c>
      <c r="I634" s="64" t="n">
        <f aca="false">IF(E634&gt;0,G35,0)</f>
        <v>1</v>
      </c>
      <c r="J634" s="64" t="n">
        <f aca="false">IF(H634&lt;&gt;" ",E634+VLOOKUP(H634,G$597:L$603,6,0)+I634," ")</f>
        <v>16</v>
      </c>
      <c r="K634" s="64" t="str">
        <f aca="true">IF(J634&lt;&gt;" ",OFFSET(ActionDice,J634,0),"-")</f>
        <v>d12 +d8 + d6</v>
      </c>
      <c r="L634" s="67" t="n">
        <f aca="false">OR(RIGHT(C634, 3)="(D)", NOT(ISERROR(MATCH(D634&amp;" (D)", C$657:C$697, 0))))</f>
        <v>0</v>
      </c>
      <c r="M634" s="64" t="str">
        <f aca="true">IF(G634&gt;0,IF(L634,"D",OFFSET(Talents!D$2,G634,0))&amp;OFFSET(Talents!E$2,G634,0)," ")</f>
        <v>-/A/-</v>
      </c>
      <c r="N634" s="64" t="n">
        <f aca="false">AND(I35="",C634&lt;&gt;" ")</f>
        <v>1</v>
      </c>
      <c r="O634" s="300" t="n">
        <f aca="false">O633+IF(N633,1,0)</f>
        <v>15</v>
      </c>
      <c r="P634" s="324" t="n">
        <f aca="false">IF(Build!$BY634&lt;=Build!P$615,MATCH(Build!$BY634,Build!O$617:O$714,0))</f>
        <v>21</v>
      </c>
      <c r="Q634" s="112" t="n">
        <f aca="false">Q633+IF(E207&lt;&gt;"",1,0)</f>
        <v>0</v>
      </c>
      <c r="R634" s="324"/>
      <c r="S634" s="112" t="n">
        <f aca="false">S633+IF(E132&lt;&gt;"",1,0)</f>
        <v>1</v>
      </c>
      <c r="T634" s="112"/>
      <c r="U634" s="300" t="n">
        <f aca="false">U633+IF(B410&lt;&gt;"",1,0)</f>
        <v>0</v>
      </c>
      <c r="V634" s="112" t="n">
        <f aca="false">V633+IF(B442&lt;&gt;"",1,0)</f>
        <v>0</v>
      </c>
      <c r="W634" s="112" t="n">
        <f aca="false">W633+IF(B474&lt;&gt;"",1,0)</f>
        <v>0</v>
      </c>
      <c r="X634" s="112" t="n">
        <f aca="false">X633+IF(B506&lt;&gt;"",1,0)</f>
        <v>0</v>
      </c>
      <c r="Y634" s="112" t="n">
        <f aca="false">Y633+IF(B538&lt;&gt;"",1,0)</f>
        <v>0</v>
      </c>
      <c r="Z634" s="324" t="n">
        <f aca="false">IF(B570&lt;&gt;"",1,0)</f>
        <v>0</v>
      </c>
      <c r="AA634" s="300" t="n">
        <f aca="false">IF($BY634&lt;=U$615,MATCH($BY634,U$617:U$737,0))</f>
        <v>0</v>
      </c>
      <c r="AB634" s="112" t="n">
        <f aca="false">IF($BY634&lt;=V$615,MATCH($BY634,V$617:V$737,0))</f>
        <v>0</v>
      </c>
      <c r="AC634" s="112" t="n">
        <f aca="false">IF($BY634&lt;=W$615,MATCH($BY634,W$617:W$737,0))</f>
        <v>0</v>
      </c>
      <c r="AD634" s="112" t="n">
        <f aca="false">IF($BY634&lt;=X$615,MATCH($BY634,X$617:X$737,0))</f>
        <v>0</v>
      </c>
      <c r="AE634" s="112" t="n">
        <f aca="false">IF($BY634&lt;=Y$615,MATCH($BY634,Y$617:Y$737,0))</f>
        <v>0</v>
      </c>
      <c r="AF634" s="324" t="n">
        <f aca="false">IF($BY634&lt;=Z$615,MATCH($BY634,Z$617:Z$737,0))</f>
        <v>0</v>
      </c>
      <c r="AG634" s="325" t="str">
        <f aca="true">IF(AND(AA634&lt;="",AP25=""),OFFSET(Spells!H$2,AA634,0),"")</f>
        <v>Effect</v>
      </c>
      <c r="AH634" s="325" t="str">
        <f aca="true">IF(AND(AB634&lt;="",AP25=""),OFFSET(Spells!R$2,AB634,0),"")</f>
        <v>Effect</v>
      </c>
      <c r="AI634" s="325" t="str">
        <f aca="true">IF(AND(AC634&lt;="",AP25=""),OFFSET(Spells!AB$2,AC634,0),"")</f>
        <v>Effect</v>
      </c>
      <c r="AJ634" s="326" t="str">
        <f aca="true">IF(AND(AD634&lt;="",AP25=""),OFFSET(Spells!AL$2,AD634,0),"")</f>
        <v>Effect</v>
      </c>
      <c r="AK634" s="326" t="str">
        <f aca="true">IF(AND(AE634&lt;="",AP25=""),OFFSET(Spells!AV$2,AE634,0),"")</f>
        <v>Effect</v>
      </c>
      <c r="AL634" s="325" t="str">
        <f aca="true">IF(AND(AF634&lt;="",AP25=""),OFFSET(Spells!$H$2,AF634,0),"")</f>
        <v>Effect</v>
      </c>
      <c r="AM634" s="327" t="str">
        <f aca="false">IF(L69&lt;&gt;"",L69," ")</f>
        <v>Figurka szachowa Kiro</v>
      </c>
      <c r="AN634" s="112" t="n">
        <f aca="false">IF(AM634&gt;0, O69, 0)</f>
        <v>4</v>
      </c>
      <c r="AO634" s="112" t="n">
        <f aca="false">IF(AN634&gt;0,Q69,0)</f>
        <v>1100</v>
      </c>
      <c r="AP634" s="112" t="n">
        <f aca="false">AP633+IF(AND(AM634&lt;&gt;" ",AN634&gt;0),1,0)</f>
        <v>5</v>
      </c>
      <c r="AQ634" s="324"/>
      <c r="AR634" s="327" t="str">
        <f aca="false">B100&amp;IF(H100&lt;&gt;""," ("&amp;H100&amp;")","")</f>
        <v>Acting</v>
      </c>
      <c r="AS634" s="112" t="n">
        <f aca="false">F100</f>
        <v>0</v>
      </c>
      <c r="AT634" s="112" t="n">
        <f aca="true">OFFSET(CostSkill,AS634,0)-OFFSET(CostSkill,E100,0)</f>
        <v>0</v>
      </c>
      <c r="AU634" s="112" t="str">
        <f aca="false">G100</f>
        <v>C</v>
      </c>
      <c r="AV634" s="112" t="n">
        <f aca="false">AV633+IF(AND(AR634&lt;&gt;" ",AS634&gt;0),1,0)</f>
        <v>5</v>
      </c>
      <c r="AW634" s="324" t="n">
        <f aca="false">IF($BY634&lt;=AW$615,MATCH(BY634,AV$617:AV$763,0))</f>
        <v>119</v>
      </c>
      <c r="AX634" s="327" t="str">
        <f aca="false">IF(Discipline1&lt;&gt;"",HLOOKUP(Discipline1,knackfordic,BY631)," ")</f>
        <v>Diagnose</v>
      </c>
      <c r="AY634" s="329" t="n">
        <f aca="false">MATCH(AX634,Talents!G$3:G$210)</f>
        <v>58</v>
      </c>
      <c r="AZ634" s="329" t="str">
        <f aca="true">IF(AY634,OFFSET(Talents!H$2,Build!AY634,0)," ")</f>
        <v>Astral Sight</v>
      </c>
      <c r="BA634" s="112" t="n">
        <f aca="true">IF(AY634,OFFSET(Talents!J$2,Build!AY634,0)," ")</f>
        <v>2</v>
      </c>
      <c r="BB634" s="112" t="n">
        <f aca="true">IF(AY634,OFFSET(Talents!I$2,Build!AY634,0)," ")</f>
        <v>5</v>
      </c>
      <c r="BC634" s="112" t="n">
        <f aca="true">IF(AY634,OFFSET(Talents!K$2,Build!AY634,0)," ")</f>
        <v>2100</v>
      </c>
      <c r="BD634" s="112" t="n">
        <f aca="true">IF(AX$663=" ",OFFSET(E$615,MATCH(AZ634,D$616:D$656,0),0),IF(ISERROR(MATCH(AZ634,D$657:D$697,0)),OFFSET(E$615,MATCH(AZ634,D$616:D$656,0),0),IF(OFFSET(E$615,MATCH(AZ634,D$616:D$656,0),0)&gt;OFFSET(E$656,MATCH(AZ634,D$657:D$697,0),0),OFFSET(E$615,MATCH(AZ634,D$616:D$656,0),0),OFFSET(E$656,MATCH(AZ634,D$657:D$697,0),0))))</f>
        <v>8</v>
      </c>
      <c r="BE634" s="112" t="n">
        <f aca="false">BE633+IF(ISERROR(BD634), 0, IF(BD634&gt;=BB634, 1, 0))</f>
        <v>12</v>
      </c>
      <c r="BF634" s="324" t="n">
        <f aca="false">IF($BY634&lt;=BF$615,MATCH(BY634,BE$617:BE$681,0))</f>
        <v>31</v>
      </c>
      <c r="BG634" s="112" t="n">
        <f aca="false">BG633+IF(AND(K53&lt;&gt;" ",N53&lt;&gt;""),1,0)</f>
        <v>1</v>
      </c>
      <c r="BH634" s="112" t="n">
        <f aca="false">IF($BY634&lt;=BH$615,MATCH(BY634,BG$617:BG$649,0))</f>
        <v>0</v>
      </c>
      <c r="BI634" s="324" t="n">
        <f aca="true">IF(BH634,OFFSET(Q$35,BH634,0),0)</f>
        <v>0</v>
      </c>
      <c r="BJ634" s="329" t="str">
        <f aca="false">IF(P197&lt;&gt;"",M197," ")</f>
        <v> </v>
      </c>
      <c r="BK634" s="112" t="n">
        <f aca="false">IF(P197="",0,Q197)</f>
        <v>0</v>
      </c>
      <c r="BL634" s="112" t="n">
        <f aca="false">BL633+IF(BJ634&lt;&gt;" ",BK634,0)</f>
        <v>2</v>
      </c>
      <c r="BM634" s="112" t="n">
        <f aca="false">R197</f>
        <v>1</v>
      </c>
      <c r="BN634" s="112" t="n">
        <f aca="false">BN633+IF(BJ634&lt;&gt;" ",BM634,0)</f>
        <v>0</v>
      </c>
      <c r="BO634" s="329" t="str">
        <f aca="false">BO635&amp;IF(BJ634&lt;&gt;" ",", "&amp;BJ634&amp;" ("&amp;BK634&amp;")","")</f>
        <v>, Karma (3), Horror Fend (3)</v>
      </c>
      <c r="BP634" s="327" t="n">
        <f aca="false">BP633+IF(BJ634&lt;&gt;" ",1,0)</f>
        <v>1</v>
      </c>
      <c r="BQ634" s="332" t="n">
        <f aca="false">IF($BY634&lt;=BP$670,(MATCH(($BY634-10),BP$627:BP$669,0)+10))</f>
        <v>0</v>
      </c>
      <c r="BY634" s="333" t="n">
        <f aca="false">BY633+1</f>
        <v>18</v>
      </c>
      <c r="BZ634" s="329" t="str">
        <f aca="false">H236</f>
        <v>Brooch, Cloaksense</v>
      </c>
      <c r="CA634" s="112" t="str">
        <f aca="false">K236</f>
        <v>X</v>
      </c>
      <c r="CB634" s="112" t="n">
        <f aca="false">L236</f>
        <v>350</v>
      </c>
      <c r="CC634" s="112" t="s">
        <v>301</v>
      </c>
      <c r="CD634" s="329" t="n">
        <f aca="false">FIND(",",BZ634)</f>
        <v>7</v>
      </c>
      <c r="CE634" s="329" t="str">
        <f aca="false">IF(ISERROR(CD634),BZ634,MID(BZ634,CD634+2,20)&amp;" "&amp;LEFT(BZ634,CD634-1))&amp;IF(ISERROR(VALUE(CA634)),"",IF(CA634&gt;1," ("&amp;CA634&amp;")",""))</f>
        <v>Cloaksense Brooch</v>
      </c>
      <c r="CF634" s="329" t="str">
        <f aca="false">IF(CC634=" "," ",IF(ISERROR(VALUE(CA634)),CC634,CA634*CC634))</f>
        <v> </v>
      </c>
      <c r="CG634" s="112" t="n">
        <f aca="false">CG633+IF(AND(BZ634&lt;&gt;0,CA634&lt;&gt;0),1,0)</f>
        <v>2</v>
      </c>
      <c r="CH634" s="112" t="n">
        <f aca="false">IF($BY634&lt;=CH$615,MATCH($BY634,CG$617:CG$863,0))</f>
        <v>89</v>
      </c>
    </row>
    <row r="635" s="32" customFormat="true" ht="12.8" hidden="false" customHeight="false" outlineLevel="0" collapsed="false">
      <c r="B635" s="279" t="n">
        <v>7</v>
      </c>
      <c r="C635" s="67" t="str">
        <f aca="false">IF(Circle1&gt;=$B635,HLOOKUP(Discipline1,talentfordisc,1+BY636,0)," ")</f>
        <v>Empathic Sense (D)</v>
      </c>
      <c r="D635" s="67" t="str">
        <f aca="false">IF(RIGHT(C635, 3)="(D)",LEFT(C635,LEN(C635)-4),C635)</f>
        <v>Empathic Sense</v>
      </c>
      <c r="E635" s="64" t="n">
        <f aca="false">F36</f>
        <v>8</v>
      </c>
      <c r="F635" s="182" t="n">
        <f aca="true">OFFSET(Cost_5_8,E635,0)</f>
        <v>14100</v>
      </c>
      <c r="G635" s="64" t="n">
        <f aca="false">IF(C635&lt;&gt;" ",MATCH(D635,Talents!B$3:B$345,1),0)</f>
        <v>101</v>
      </c>
      <c r="H635" s="64" t="str">
        <f aca="true">IF(G635=0," ",OFFSET(Talents!C$2,G635,0))</f>
        <v>C</v>
      </c>
      <c r="I635" s="64" t="n">
        <f aca="false">IF(E635&gt;0,G36,0)</f>
        <v>0</v>
      </c>
      <c r="J635" s="64" t="n">
        <f aca="false">IF(H635&lt;&gt;" ",E635+VLOOKUP(H635,G$597:L$603,6,0)+I635," ")</f>
        <v>14</v>
      </c>
      <c r="K635" s="64" t="str">
        <f aca="true">IF(J635&lt;&gt;" ",OFFSET(ActionDice,J635,0),"-")</f>
        <v>2d12</v>
      </c>
      <c r="L635" s="67" t="n">
        <f aca="false">OR(RIGHT(C635, 3)="(D)", NOT(ISERROR(MATCH(D635&amp;" (D)", C$657:C$697, 0))))</f>
        <v>1</v>
      </c>
      <c r="M635" s="64" t="str">
        <f aca="true">IF(G635&gt;0,IF(L635,"D",OFFSET(Talents!D$2,G635,0))&amp;OFFSET(Talents!E$2,G635,0)," ")</f>
        <v>D/A/*</v>
      </c>
      <c r="N635" s="64" t="n">
        <f aca="false">AND(I36="",C635&lt;&gt;" ")</f>
        <v>1</v>
      </c>
      <c r="O635" s="300" t="n">
        <f aca="false">O634+IF(N634,1,0)</f>
        <v>16</v>
      </c>
      <c r="P635" s="324" t="n">
        <f aca="false">IF(Build!$BY635&lt;=Build!P$615,MATCH(Build!$BY635,Build!O$617:O$714,0))</f>
        <v>83</v>
      </c>
      <c r="Q635" s="112" t="n">
        <f aca="false">Q634+IF(E208&lt;&gt;"",1,0)</f>
        <v>0</v>
      </c>
      <c r="R635" s="324"/>
      <c r="S635" s="112" t="n">
        <f aca="false">S634+IF(E133&lt;&gt;"",1,0)</f>
        <v>1</v>
      </c>
      <c r="T635" s="112"/>
      <c r="U635" s="300" t="n">
        <f aca="false">U634+IF(B411&lt;&gt;"",1,0)</f>
        <v>0</v>
      </c>
      <c r="V635" s="112" t="n">
        <f aca="false">V634+IF(B443&lt;&gt;"",1,0)</f>
        <v>0</v>
      </c>
      <c r="W635" s="112" t="n">
        <f aca="false">W634+IF(B475&lt;&gt;"",1,0)</f>
        <v>0</v>
      </c>
      <c r="X635" s="112" t="n">
        <f aca="false">X634+IF(B507&lt;&gt;"",1,0)</f>
        <v>0</v>
      </c>
      <c r="Y635" s="112" t="n">
        <f aca="false">Y634+IF(B539&lt;&gt;"",1,0)</f>
        <v>0</v>
      </c>
      <c r="Z635" s="324" t="n">
        <f aca="false">IF(B571&lt;&gt;"",1,0)</f>
        <v>0</v>
      </c>
      <c r="AA635" s="300" t="n">
        <f aca="false">IF($BY635&lt;=U$615,MATCH($BY635,U$617:U$737,0))</f>
        <v>0</v>
      </c>
      <c r="AB635" s="112" t="n">
        <f aca="false">IF($BY635&lt;=V$615,MATCH($BY635,V$617:V$737,0))</f>
        <v>0</v>
      </c>
      <c r="AC635" s="112" t="n">
        <f aca="false">IF($BY635&lt;=W$615,MATCH($BY635,W$617:W$737,0))</f>
        <v>0</v>
      </c>
      <c r="AD635" s="112" t="n">
        <f aca="false">IF($BY635&lt;=X$615,MATCH($BY635,X$617:X$737,0))</f>
        <v>0</v>
      </c>
      <c r="AE635" s="112" t="n">
        <f aca="false">IF($BY635&lt;=Y$615,MATCH($BY635,Y$617:Y$737,0))</f>
        <v>0</v>
      </c>
      <c r="AF635" s="324" t="n">
        <f aca="false">IF($BY635&lt;=Z$615,MATCH($BY635,Z$617:Z$737,0))</f>
        <v>0</v>
      </c>
      <c r="AG635" s="325" t="str">
        <f aca="true">IF(AND(AA635&lt;="",AP26=""),OFFSET(Spells!H$2,AA635,0),"")</f>
        <v>Effect</v>
      </c>
      <c r="AH635" s="325" t="str">
        <f aca="true">IF(AND(AB635&lt;="",AP26=""),OFFSET(Spells!R$2,AB635,0),"")</f>
        <v>Effect</v>
      </c>
      <c r="AI635" s="325" t="str">
        <f aca="true">IF(AND(AC635&lt;="",AP26=""),OFFSET(Spells!AB$2,AC635,0),"")</f>
        <v>Effect</v>
      </c>
      <c r="AJ635" s="326" t="str">
        <f aca="true">IF(AND(AD635&lt;="",AP26=""),OFFSET(Spells!AL$2,AD635,0),"")</f>
        <v>Effect</v>
      </c>
      <c r="AK635" s="326" t="str">
        <f aca="true">IF(AND(AE635&lt;="",AP26=""),OFFSET(Spells!AV$2,AE635,0),"")</f>
        <v>Effect</v>
      </c>
      <c r="AL635" s="325" t="str">
        <f aca="true">IF(AND(AF635&lt;="",AP26=""),OFFSET(Spells!$H$2,AF635,0),"")</f>
        <v>Effect</v>
      </c>
      <c r="AM635" s="327" t="str">
        <f aca="false">IF(L70&lt;&gt;"",L70," ")</f>
        <v> </v>
      </c>
      <c r="AN635" s="112" t="n">
        <f aca="false">IF(AM635&gt;0, O70, 0)</f>
        <v>0</v>
      </c>
      <c r="AO635" s="112" t="n">
        <f aca="false">IF(AN635&gt;0,Q70,0)</f>
        <v>0</v>
      </c>
      <c r="AP635" s="112" t="n">
        <f aca="false">AP634+IF(AND(AM635&lt;&gt;" ",AN635&gt;0),1,0)</f>
        <v>5</v>
      </c>
      <c r="AQ635" s="324"/>
      <c r="AR635" s="327" t="str">
        <f aca="false">B101&amp;IF(H101&lt;&gt;""," ("&amp;H101&amp;")","")</f>
        <v>Artist</v>
      </c>
      <c r="AS635" s="112" t="n">
        <f aca="false">F101</f>
        <v>0</v>
      </c>
      <c r="AT635" s="112" t="n">
        <f aca="true">OFFSET(CostSkill,AS635,0)-OFFSET(CostSkill,E101,0)</f>
        <v>0</v>
      </c>
      <c r="AU635" s="112" t="str">
        <f aca="false">G101</f>
        <v>C</v>
      </c>
      <c r="AV635" s="112" t="n">
        <f aca="false">AV634+IF(AND(AR635&lt;&gt;" ",AS635&gt;0),1,0)</f>
        <v>5</v>
      </c>
      <c r="AW635" s="324" t="n">
        <f aca="false">IF($BY635&lt;=AW$615,MATCH(BY635,AV$617:AV$763,0))</f>
        <v>129</v>
      </c>
      <c r="AX635" s="327" t="str">
        <f aca="false">IF(Discipline1&lt;&gt;"",HLOOKUP(Discipline1,knackfordic,BY632)," ")</f>
        <v>Disassociate</v>
      </c>
      <c r="AY635" s="329" t="n">
        <f aca="false">MATCH(AX635,Talents!G$3:G$210)</f>
        <v>59</v>
      </c>
      <c r="AZ635" s="329" t="str">
        <f aca="true">IF(AY635,OFFSET(Talents!H$2,Build!AY635,0)," ")</f>
        <v>Empathic Sense</v>
      </c>
      <c r="BA635" s="112" t="n">
        <f aca="true">IF(AY635,OFFSET(Talents!J$2,Build!AY635,0)," ")</f>
        <v>2</v>
      </c>
      <c r="BB635" s="112" t="n">
        <f aca="true">IF(AY635,OFFSET(Talents!I$2,Build!AY635,0)," ")</f>
        <v>7</v>
      </c>
      <c r="BC635" s="112" t="n">
        <f aca="true">IF(AY635,OFFSET(Talents!K$2,Build!AY635,0)," ")</f>
        <v>3400</v>
      </c>
      <c r="BD635" s="112" t="n">
        <f aca="true">IF(AX$663=" ",OFFSET(E$615,MATCH(AZ635,D$616:D$656,0),0),IF(ISERROR(MATCH(AZ635,D$657:D$697,0)),OFFSET(E$615,MATCH(AZ635,D$616:D$656,0),0),IF(OFFSET(E$615,MATCH(AZ635,D$616:D$656,0),0)&gt;OFFSET(E$656,MATCH(AZ635,D$657:D$697,0),0),OFFSET(E$615,MATCH(AZ635,D$616:D$656,0),0),OFFSET(E$656,MATCH(AZ635,D$657:D$697,0),0))))</f>
        <v>8</v>
      </c>
      <c r="BE635" s="112" t="n">
        <f aca="false">BE634+IF(ISERROR(BD635), 0, IF(BD635&gt;=BB635, 1, 0))</f>
        <v>13</v>
      </c>
      <c r="BF635" s="324" t="n">
        <f aca="false">IF($BY635&lt;=BF$615,MATCH(BY635,BE$617:BE$681,0))</f>
        <v>37</v>
      </c>
      <c r="BG635" s="112" t="n">
        <f aca="false">BG634+IF(AND(K54&lt;&gt;" ",N54&lt;&gt;""),1,0)</f>
        <v>2</v>
      </c>
      <c r="BH635" s="112" t="n">
        <f aca="false">IF($BY635&lt;=BH$615,MATCH(BY635,BG$617:BG$649,0))</f>
        <v>0</v>
      </c>
      <c r="BI635" s="324" t="n">
        <f aca="true">IF(BH635,OFFSET(Q$35,BH635,0),0)</f>
        <v>0</v>
      </c>
      <c r="BJ635" s="329" t="str">
        <f aca="false">IF(P198&lt;&gt;"",M198," ")</f>
        <v> </v>
      </c>
      <c r="BK635" s="112" t="n">
        <f aca="false">IF(P198="",0,Q198)</f>
        <v>0</v>
      </c>
      <c r="BL635" s="112" t="n">
        <f aca="false">BL634+IF(BJ635&lt;&gt;" ",BK635,0)</f>
        <v>2</v>
      </c>
      <c r="BM635" s="112" t="n">
        <f aca="false">R198</f>
        <v>1</v>
      </c>
      <c r="BN635" s="112" t="n">
        <f aca="false">BN634+IF(BJ635&lt;&gt;" ",BM635,0)</f>
        <v>0</v>
      </c>
      <c r="BO635" s="329" t="str">
        <f aca="false">BO636&amp;IF(BJ635&lt;&gt;" ",", "&amp;BJ635&amp;" ("&amp;BK635&amp;")","")</f>
        <v>, Karma (3), Horror Fend (3)</v>
      </c>
      <c r="BP635" s="327" t="n">
        <f aca="false">BP634+IF(BJ635&lt;&gt;" ",1,0)</f>
        <v>1</v>
      </c>
      <c r="BQ635" s="332"/>
      <c r="BY635" s="333" t="n">
        <f aca="false">BY634+1</f>
        <v>19</v>
      </c>
      <c r="BZ635" s="329" t="str">
        <f aca="false">H237</f>
        <v>Cloak, Wool</v>
      </c>
      <c r="CA635" s="112" t="str">
        <f aca="false">K237</f>
        <v>X</v>
      </c>
      <c r="CB635" s="112" t="n">
        <f aca="false">L237</f>
        <v>5</v>
      </c>
      <c r="CC635" s="112" t="s">
        <v>301</v>
      </c>
      <c r="CD635" s="329" t="n">
        <f aca="false">FIND(",",BZ635)</f>
        <v>6</v>
      </c>
      <c r="CE635" s="329" t="str">
        <f aca="false">IF(ISERROR(CD635),BZ635,MID(BZ635,CD635+2,20)&amp;" "&amp;LEFT(BZ635,CD635-1))&amp;IF(ISERROR(VALUE(CA635)),"",IF(CA635&gt;1," ("&amp;CA635&amp;")",""))</f>
        <v>Wool Cloak</v>
      </c>
      <c r="CF635" s="329" t="str">
        <f aca="false">IF(CC635=" "," ",IF(ISERROR(VALUE(CA635)),CC635,CA635*CC635))</f>
        <v> </v>
      </c>
      <c r="CG635" s="112" t="n">
        <f aca="false">CG634+IF(AND(BZ635&lt;&gt;0,CA635&lt;&gt;0),1,0)</f>
        <v>3</v>
      </c>
      <c r="CH635" s="112" t="n">
        <f aca="false">IF($BY635&lt;=CH$615,MATCH($BY635,CG$617:CG$863,0))</f>
        <v>90</v>
      </c>
    </row>
    <row r="636" s="32" customFormat="true" ht="12.8" hidden="false" customHeight="false" outlineLevel="0" collapsed="false">
      <c r="B636" s="279" t="n">
        <v>7</v>
      </c>
      <c r="C636" s="67" t="str">
        <f aca="false">AQ37</f>
        <v>Conceal Object</v>
      </c>
      <c r="D636" s="67" t="str">
        <f aca="false">IF(RIGHT(C636, 3)="(D)",LEFT(C636,LEN(C636)-4),C636)</f>
        <v>Conceal Object</v>
      </c>
      <c r="E636" s="64" t="n">
        <f aca="false">F37</f>
        <v>4</v>
      </c>
      <c r="F636" s="182" t="n">
        <f aca="true">OFFSET(Cost_5_8,E636,0)</f>
        <v>1800</v>
      </c>
      <c r="G636" s="64" t="n">
        <f aca="false">IF(C636&lt;&gt;" ",MATCH(D636,Talents!B$3:B$345,1),0)</f>
        <v>63</v>
      </c>
      <c r="H636" s="64" t="str">
        <f aca="true">IF(G636=0," ",OFFSET(Talents!C$2,G636,0))</f>
        <v>D</v>
      </c>
      <c r="I636" s="64" t="n">
        <f aca="false">IF(E636&gt;0,G37,0)</f>
        <v>0</v>
      </c>
      <c r="J636" s="64" t="n">
        <f aca="false">IF(H636&lt;&gt;" ",E636+VLOOKUP(H636,G$597:L$603,6,0)+I636," ")</f>
        <v>11</v>
      </c>
      <c r="K636" s="64" t="str">
        <f aca="true">IF(J636&lt;&gt;" ",OFFSET(ActionDice,J636,0),"-")</f>
        <v>d10 + d8</v>
      </c>
      <c r="L636" s="67" t="n">
        <f aca="false">OR(RIGHT(C636, 3)="(D)", NOT(ISERROR(MATCH(D636&amp;" (D)", C$657:C$697, 0))))</f>
        <v>0</v>
      </c>
      <c r="M636" s="64" t="str">
        <f aca="true">IF(G636&gt;0,IF(L636,"D",OFFSET(Talents!D$2,G636,0))&amp;OFFSET(Talents!E$2,G636,0)," ")</f>
        <v>-/A/1</v>
      </c>
      <c r="N636" s="64" t="n">
        <f aca="false">AND(I37="",C636&lt;&gt;" ")</f>
        <v>1</v>
      </c>
      <c r="O636" s="300" t="n">
        <f aca="false">O635+IF(N635,1,0)</f>
        <v>17</v>
      </c>
      <c r="P636" s="324" t="n">
        <f aca="false">IF(Build!$BY636&lt;=Build!P$615,MATCH(Build!$BY636,Build!O$617:O$714,0))</f>
        <v>84</v>
      </c>
      <c r="Q636" s="112" t="n">
        <f aca="false">Q635+IF(E209&lt;&gt;"",1,0)</f>
        <v>0</v>
      </c>
      <c r="R636" s="324"/>
      <c r="S636" s="112" t="n">
        <f aca="false">S635+IF(E134&lt;&gt;"",1,0)</f>
        <v>1</v>
      </c>
      <c r="T636" s="112"/>
      <c r="U636" s="300" t="n">
        <f aca="false">U635+IF(B412&lt;&gt;"",1,0)</f>
        <v>0</v>
      </c>
      <c r="V636" s="112" t="n">
        <f aca="false">V635+IF(B444&lt;&gt;"",1,0)</f>
        <v>0</v>
      </c>
      <c r="W636" s="112" t="n">
        <f aca="false">W635+IF(B476&lt;&gt;"",1,0)</f>
        <v>0</v>
      </c>
      <c r="X636" s="112" t="n">
        <f aca="false">X635+IF(B508&lt;&gt;"",1,0)</f>
        <v>0</v>
      </c>
      <c r="Y636" s="112" t="n">
        <f aca="false">Y635+IF(B540&lt;&gt;"",1,0)</f>
        <v>0</v>
      </c>
      <c r="Z636" s="324" t="n">
        <f aca="false">IF(B572&lt;&gt;"",1,0)</f>
        <v>0</v>
      </c>
      <c r="AA636" s="300" t="n">
        <f aca="false">IF($BY636&lt;=U$615,MATCH($BY636,U$617:U$737,0))</f>
        <v>0</v>
      </c>
      <c r="AB636" s="112" t="n">
        <f aca="false">IF($BY636&lt;=V$615,MATCH($BY636,V$617:V$737,0))</f>
        <v>0</v>
      </c>
      <c r="AC636" s="112" t="n">
        <f aca="false">IF($BY636&lt;=W$615,MATCH($BY636,W$617:W$737,0))</f>
        <v>0</v>
      </c>
      <c r="AD636" s="112" t="n">
        <f aca="false">IF($BY636&lt;=X$615,MATCH($BY636,X$617:X$737,0))</f>
        <v>0</v>
      </c>
      <c r="AE636" s="112" t="n">
        <f aca="false">IF($BY636&lt;=Y$615,MATCH($BY636,Y$617:Y$737,0))</f>
        <v>0</v>
      </c>
      <c r="AF636" s="324" t="n">
        <f aca="false">IF($BY636&lt;=Z$615,MATCH($BY636,Z$617:Z$737,0))</f>
        <v>0</v>
      </c>
      <c r="AG636" s="325" t="str">
        <f aca="true">IF(AND(AA636&lt;="",AP27=""),OFFSET(Spells!H$2,AA636,0),"")</f>
        <v>Effect</v>
      </c>
      <c r="AH636" s="325" t="str">
        <f aca="true">IF(AND(AB636&lt;="",AP27=""),OFFSET(Spells!R$2,AB636,0),"")</f>
        <v>Effect</v>
      </c>
      <c r="AI636" s="325" t="str">
        <f aca="true">IF(AND(AC636&lt;="",AP27=""),OFFSET(Spells!AB$2,AC636,0),"")</f>
        <v>Effect</v>
      </c>
      <c r="AJ636" s="326" t="str">
        <f aca="true">IF(AND(AD636&lt;="",AP27=""),OFFSET(Spells!AL$2,AD636,0),"")</f>
        <v>Effect</v>
      </c>
      <c r="AK636" s="326" t="str">
        <f aca="true">IF(AND(AE636&lt;="",AP27=""),OFFSET(Spells!AV$2,AE636,0),"")</f>
        <v>Effect</v>
      </c>
      <c r="AL636" s="325" t="str">
        <f aca="true">IF(AND(AF636&lt;="",AP27=""),OFFSET(Spells!$H$2,AF636,0),"")</f>
        <v>Effect</v>
      </c>
      <c r="AM636" s="327" t="str">
        <f aca="false">IF(L71&lt;&gt;"",L71," ")</f>
        <v> </v>
      </c>
      <c r="AN636" s="112" t="n">
        <f aca="false">IF(AM636&gt;0, O71, 0)</f>
        <v>0</v>
      </c>
      <c r="AO636" s="112" t="n">
        <f aca="false">IF(AN636&gt;0,Q71,0)</f>
        <v>0</v>
      </c>
      <c r="AP636" s="112" t="n">
        <f aca="false">AP635+IF(AND(AM636&lt;&gt;" ",AN636&gt;0),1,0)</f>
        <v>5</v>
      </c>
      <c r="AQ636" s="324"/>
      <c r="AR636" s="327" t="str">
        <f aca="false">B102&amp;IF(H102&lt;&gt;""," ("&amp;H102&amp;")","")</f>
        <v>Craftsman</v>
      </c>
      <c r="AS636" s="112" t="n">
        <f aca="false">F102</f>
        <v>1</v>
      </c>
      <c r="AT636" s="112" t="n">
        <f aca="true">OFFSET(CostSkill,AS636,0)-OFFSET(CostSkill,E102,0)</f>
        <v>0</v>
      </c>
      <c r="AU636" s="112" t="str">
        <f aca="false">G102</f>
        <v>D</v>
      </c>
      <c r="AV636" s="112" t="n">
        <f aca="false">AV635+IF(AND(AR636&lt;&gt;" ",AS636&gt;0),1,0)</f>
        <v>6</v>
      </c>
      <c r="AW636" s="324" t="n">
        <f aca="false">IF($BY636&lt;=AW$615,MATCH(BY636,AV$617:AV$763,0))</f>
        <v>0</v>
      </c>
      <c r="AX636" s="327" t="str">
        <f aca="false">IF(Discipline1&lt;&gt;"",HLOOKUP(Discipline1,knackfordic,BY633)," ")</f>
        <v>False Evidence</v>
      </c>
      <c r="AY636" s="329" t="n">
        <f aca="false">MATCH(AX636,Talents!G$3:G$210)</f>
        <v>69</v>
      </c>
      <c r="AZ636" s="329" t="str">
        <f aca="true">IF(AY636,OFFSET(Talents!H$2,Build!AY636,0)," ")</f>
        <v>Evidence Analysis</v>
      </c>
      <c r="BA636" s="112" t="n">
        <f aca="true">IF(AY636,OFFSET(Talents!J$2,Build!AY636,0)," ")</f>
        <v>2</v>
      </c>
      <c r="BB636" s="112" t="n">
        <f aca="true">IF(AY636,OFFSET(Talents!I$2,Build!AY636,0)," ")</f>
        <v>7</v>
      </c>
      <c r="BC636" s="112" t="n">
        <f aca="true">IF(AY636,OFFSET(Talents!K$2,Build!AY636,0)," ")</f>
        <v>5500</v>
      </c>
      <c r="BD636" s="112" t="n">
        <f aca="true">IF(AX$663=" ",OFFSET(E$615,MATCH(AZ636,D$616:D$656,0),0),IF(ISERROR(MATCH(AZ636,D$657:D$697,0)),OFFSET(E$615,MATCH(AZ636,D$616:D$656,0),0),IF(OFFSET(E$615,MATCH(AZ636,D$616:D$656,0),0)&gt;OFFSET(E$656,MATCH(AZ636,D$657:D$697,0),0),OFFSET(E$615,MATCH(AZ636,D$616:D$656,0),0),OFFSET(E$656,MATCH(AZ636,D$657:D$697,0),0))))</f>
        <v>1</v>
      </c>
      <c r="BE636" s="112" t="n">
        <f aca="false">BE635+IF(ISERROR(BD636), 0, IF(BD636&gt;=BB636, 1, 0))</f>
        <v>13</v>
      </c>
      <c r="BF636" s="324" t="n">
        <f aca="false">IF($BY636&lt;=BF$615,MATCH(BY636,BE$617:BE$681,0))</f>
        <v>40</v>
      </c>
      <c r="BG636" s="112" t="n">
        <f aca="false">BG635+IF(AND(K55&lt;&gt;" ",N55&lt;&gt;""),1,0)</f>
        <v>2</v>
      </c>
      <c r="BH636" s="112" t="n">
        <f aca="false">IF($BY636&lt;=BH$615,MATCH(BY636,BG$617:BG$649,0))</f>
        <v>0</v>
      </c>
      <c r="BI636" s="324" t="n">
        <f aca="true">IF(BH636,OFFSET(Q$35,BH636,0),0)</f>
        <v>0</v>
      </c>
      <c r="BJ636" s="329" t="str">
        <f aca="false">IF(P199&lt;&gt;"",M199," ")</f>
        <v> </v>
      </c>
      <c r="BK636" s="112" t="n">
        <f aca="false">IF(P199="",0,Q199)</f>
        <v>0</v>
      </c>
      <c r="BL636" s="112" t="n">
        <f aca="false">BL635+IF(BJ636&lt;&gt;" ",BK636,0)</f>
        <v>2</v>
      </c>
      <c r="BM636" s="112" t="n">
        <f aca="false">R199</f>
        <v>1</v>
      </c>
      <c r="BN636" s="112" t="n">
        <f aca="false">BN635+IF(BJ636&lt;&gt;" ",BM636,0)</f>
        <v>0</v>
      </c>
      <c r="BO636" s="329" t="str">
        <f aca="false">BO637&amp;IF(BJ636&lt;&gt;" ",", "&amp;BJ636&amp;" ("&amp;BK636&amp;")","")</f>
        <v>, Karma (3), Horror Fend (3)</v>
      </c>
      <c r="BP636" s="327" t="n">
        <f aca="false">BP635+IF(BJ636&lt;&gt;" ",1,0)</f>
        <v>1</v>
      </c>
      <c r="BQ636" s="332"/>
      <c r="BY636" s="333" t="n">
        <f aca="false">BY635+1</f>
        <v>20</v>
      </c>
      <c r="BZ636" s="329" t="str">
        <f aca="false">H238</f>
        <v>Cloak, Silk</v>
      </c>
      <c r="CA636" s="112" t="n">
        <f aca="false">K238</f>
        <v>0</v>
      </c>
      <c r="CB636" s="112" t="n">
        <f aca="false">L238</f>
        <v>14</v>
      </c>
      <c r="CC636" s="112" t="s">
        <v>301</v>
      </c>
      <c r="CD636" s="329" t="n">
        <f aca="false">FIND(",",BZ636)</f>
        <v>6</v>
      </c>
      <c r="CE636" s="329" t="str">
        <f aca="false">IF(ISERROR(CD636),BZ636,MID(BZ636,CD636+2,20)&amp;" "&amp;LEFT(BZ636,CD636-1))&amp;IF(ISERROR(VALUE(CA636)),"",IF(CA636&gt;1," ("&amp;CA636&amp;")",""))</f>
        <v>Silk Cloak</v>
      </c>
      <c r="CF636" s="329" t="str">
        <f aca="false">IF(CC636=" "," ",IF(ISERROR(VALUE(CA636)),CC636,CA636*CC636))</f>
        <v> </v>
      </c>
      <c r="CG636" s="112" t="n">
        <f aca="false">CG635+IF(AND(BZ636&lt;&gt;0,CA636&lt;&gt;0),1,0)</f>
        <v>3</v>
      </c>
      <c r="CH636" s="112" t="n">
        <f aca="false">IF($BY636&lt;=CH$615,MATCH($BY636,CG$617:CG$863,0))</f>
        <v>92</v>
      </c>
    </row>
    <row r="637" s="32" customFormat="true" ht="12.8" hidden="false" customHeight="false" outlineLevel="0" collapsed="false">
      <c r="B637" s="279" t="n">
        <v>8</v>
      </c>
      <c r="C637" s="67" t="str">
        <f aca="false">IF(Circle1&gt;=$B637,HLOOKUP(Discipline1,talentfordisc,1+BY638,0)," ")</f>
        <v> </v>
      </c>
      <c r="D637" s="67" t="str">
        <f aca="false">IF(RIGHT(C637, 3)="(D)",LEFT(C637,LEN(C637)-4),C637)</f>
        <v> </v>
      </c>
      <c r="E637" s="64" t="n">
        <f aca="false">F38</f>
        <v>0</v>
      </c>
      <c r="F637" s="182" t="n">
        <f aca="true">OFFSET(Cost_5_8,E637,0)</f>
        <v>0</v>
      </c>
      <c r="G637" s="64" t="n">
        <f aca="false">IF(C637&lt;&gt;" ",MATCH(D637,Talents!B$3:B$345,1),0)</f>
        <v>0</v>
      </c>
      <c r="H637" s="64" t="str">
        <f aca="true">IF(G637=0," ",OFFSET(Talents!C$2,G637,0))</f>
        <v> </v>
      </c>
      <c r="I637" s="64" t="n">
        <f aca="false">IF(E637&gt;0,G38,0)</f>
        <v>0</v>
      </c>
      <c r="J637" s="64" t="str">
        <f aca="false">IF(H637&lt;&gt;" ",E637+VLOOKUP(H637,G$597:L$603,6,0)+I637," ")</f>
        <v> </v>
      </c>
      <c r="K637" s="64" t="str">
        <f aca="true">IF(J637&lt;&gt;" ",OFFSET(ActionDice,J637,0),"-")</f>
        <v>-</v>
      </c>
      <c r="L637" s="67" t="n">
        <f aca="false">OR(RIGHT(C637, 3)="(D)", NOT(ISERROR(MATCH(D637&amp;" (D)", C$657:C$697, 0))))</f>
        <v>0</v>
      </c>
      <c r="M637" s="64" t="str">
        <f aca="true">IF(G637&gt;0,IF(L637,"D",OFFSET(Talents!D$2,G637,0))&amp;OFFSET(Talents!E$2,G637,0)," ")</f>
        <v> </v>
      </c>
      <c r="N637" s="64" t="n">
        <f aca="false">AND(I38="",C637&lt;&gt;" ")</f>
        <v>0</v>
      </c>
      <c r="O637" s="300" t="n">
        <f aca="false">O636+IF(N636,1,0)</f>
        <v>18</v>
      </c>
      <c r="P637" s="324" t="n">
        <f aca="false">IF(Build!$BY637&lt;=Build!P$615,MATCH(Build!$BY637,Build!O$617:O$714,0))</f>
        <v>85</v>
      </c>
      <c r="Q637" s="112" t="n">
        <f aca="false">Q636+IF(E210&lt;&gt;"",1,0)</f>
        <v>0</v>
      </c>
      <c r="R637" s="324"/>
      <c r="S637" s="112" t="n">
        <f aca="false">S636+IF(E135&lt;&gt;"",1,0)</f>
        <v>1</v>
      </c>
      <c r="T637" s="112"/>
      <c r="U637" s="300" t="n">
        <f aca="false">U636+IF(B413&lt;&gt;"",1,0)</f>
        <v>0</v>
      </c>
      <c r="V637" s="112" t="n">
        <f aca="false">V636+IF(B445&lt;&gt;"",1,0)</f>
        <v>0</v>
      </c>
      <c r="W637" s="112" t="n">
        <f aca="false">W636+IF(B477&lt;&gt;"",1,0)</f>
        <v>0</v>
      </c>
      <c r="X637" s="112" t="n">
        <f aca="false">X636+IF(B509&lt;&gt;"",1,0)</f>
        <v>0</v>
      </c>
      <c r="Y637" s="112" t="n">
        <f aca="false">Y636+IF(B541&lt;&gt;"",1,0)</f>
        <v>0</v>
      </c>
      <c r="Z637" s="324" t="n">
        <f aca="false">IF(B573&lt;&gt;"",1,0)</f>
        <v>0</v>
      </c>
      <c r="AA637" s="300" t="n">
        <f aca="false">IF($BY637&lt;=U$615,MATCH($BY637,U$617:U$737,0))</f>
        <v>0</v>
      </c>
      <c r="AB637" s="112" t="n">
        <f aca="false">IF($BY637&lt;=V$615,MATCH($BY637,V$617:V$737,0))</f>
        <v>0</v>
      </c>
      <c r="AC637" s="112" t="n">
        <f aca="false">IF($BY637&lt;=W$615,MATCH($BY637,W$617:W$737,0))</f>
        <v>0</v>
      </c>
      <c r="AD637" s="112" t="n">
        <f aca="false">IF($BY637&lt;=X$615,MATCH($BY637,X$617:X$737,0))</f>
        <v>0</v>
      </c>
      <c r="AE637" s="112" t="n">
        <f aca="false">IF($BY637&lt;=Y$615,MATCH($BY637,Y$617:Y$737,0))</f>
        <v>0</v>
      </c>
      <c r="AF637" s="324" t="n">
        <f aca="false">IF($BY637&lt;=Z$615,MATCH($BY637,Z$617:Z$737,0))</f>
        <v>0</v>
      </c>
      <c r="AG637" s="325" t="str">
        <f aca="true">IF(AND(AA637&lt;="",AP28=""),OFFSET(Spells!H$2,AA637,0),"")</f>
        <v>Effect</v>
      </c>
      <c r="AH637" s="325" t="str">
        <f aca="true">IF(AND(AB637&lt;="",AP28=""),OFFSET(Spells!R$2,AB637,0),"")</f>
        <v>Effect</v>
      </c>
      <c r="AI637" s="325" t="str">
        <f aca="true">IF(AND(AC637&lt;="",AP28=""),OFFSET(Spells!AB$2,AC637,0),"")</f>
        <v>Effect</v>
      </c>
      <c r="AJ637" s="326" t="str">
        <f aca="true">IF(AND(AD637&lt;="",AP28=""),OFFSET(Spells!AL$2,AD637,0),"")</f>
        <v>Effect</v>
      </c>
      <c r="AK637" s="326" t="str">
        <f aca="true">IF(AND(AE637&lt;="",AP28=""),OFFSET(Spells!AV$2,AE637,0),"")</f>
        <v>Effect</v>
      </c>
      <c r="AL637" s="325" t="str">
        <f aca="true">IF(AND(AF637&lt;="",AP28=""),OFFSET(Spells!$H$2,AF637,0),"")</f>
        <v>Effect</v>
      </c>
      <c r="AM637" s="327" t="str">
        <f aca="false">IF(L72&lt;&gt;"",L72," ")</f>
        <v> </v>
      </c>
      <c r="AN637" s="112" t="n">
        <f aca="false">IF(AM637&gt;0, O72, 0)</f>
        <v>0</v>
      </c>
      <c r="AO637" s="112" t="n">
        <f aca="false">IF(AN637&gt;0,Q72,0)</f>
        <v>0</v>
      </c>
      <c r="AP637" s="112" t="n">
        <f aca="false">AP636+IF(AND(AM637&lt;&gt;" ",AN637&gt;0),1,0)</f>
        <v>5</v>
      </c>
      <c r="AQ637" s="324"/>
      <c r="AR637" s="327" t="str">
        <f aca="false">B103&amp;IF(H103&lt;&gt;""," ("&amp;H103&amp;")","")</f>
        <v>Cooking</v>
      </c>
      <c r="AS637" s="112" t="n">
        <f aca="false">F103</f>
        <v>0</v>
      </c>
      <c r="AT637" s="112" t="n">
        <f aca="true">OFFSET(CostSkill,AS637,0)-OFFSET(CostSkill,E103,0)</f>
        <v>0</v>
      </c>
      <c r="AU637" s="112" t="str">
        <f aca="false">G103</f>
        <v>C</v>
      </c>
      <c r="AV637" s="112" t="n">
        <f aca="false">AV636+IF(AND(AR637&lt;&gt;" ",AS637&gt;0),1,0)</f>
        <v>6</v>
      </c>
      <c r="AW637" s="324" t="n">
        <f aca="false">IF($BY637&lt;=AW$615,MATCH(BY637,AV$617:AV$763,0))</f>
        <v>0</v>
      </c>
      <c r="AX637" s="327" t="str">
        <f aca="false">IF(Discipline1&lt;&gt;"",HLOOKUP(Discipline1,knackfordic,BY634)," ")</f>
        <v>Feign Hit</v>
      </c>
      <c r="AY637" s="329" t="n">
        <f aca="false">MATCH(AX637,Talents!G$3:G$210)</f>
        <v>76</v>
      </c>
      <c r="AZ637" s="329" t="str">
        <f aca="true">IF(AY637,OFFSET(Talents!H$2,Build!AY637,0)," ")</f>
        <v>Avoid Blow</v>
      </c>
      <c r="BA637" s="112" t="n">
        <f aca="true">IF(AY637,OFFSET(Talents!J$2,Build!AY637,0)," ")</f>
        <v>2</v>
      </c>
      <c r="BB637" s="112" t="n">
        <f aca="true">IF(AY637,OFFSET(Talents!I$2,Build!AY637,0)," ")</f>
        <v>7</v>
      </c>
      <c r="BC637" s="112" t="n">
        <f aca="true">IF(AY637,OFFSET(Talents!K$2,Build!AY637,0)," ")</f>
        <v>5500</v>
      </c>
      <c r="BD637" s="112" t="e">
        <f aca="true">IF(AX$663=" ",OFFSET(E$615,MATCH(AZ637,D$616:D$656,0),0),IF(ISERROR(MATCH(AZ637,D$657:D$697,0)),OFFSET(E$615,MATCH(AZ637,D$616:D$656,0),0),IF(OFFSET(E$615,MATCH(AZ637,D$616:D$656,0),0)&gt;OFFSET(E$656,MATCH(AZ637,D$657:D$697,0),0),OFFSET(E$615,MATCH(AZ637,D$616:D$656,0),0),OFFSET(E$656,MATCH(AZ637,D$657:D$697,0),0))))</f>
        <v>#N/A</v>
      </c>
      <c r="BE637" s="112" t="n">
        <f aca="false">BE636+IF(ISERROR(BD637), 0, IF(BD637&gt;=BB637, 1, 0))</f>
        <v>13</v>
      </c>
      <c r="BF637" s="324" t="n">
        <f aca="false">IF($BY637&lt;=BF$615,MATCH(BY637,BE$617:BE$681,0))</f>
        <v>43</v>
      </c>
      <c r="BG637" s="112" t="n">
        <f aca="false">BG636+IF(AND(K56&lt;&gt;" ",N56&lt;&gt;""),1,0)</f>
        <v>2</v>
      </c>
      <c r="BH637" s="112" t="n">
        <f aca="false">IF($BY637&lt;=BH$615,MATCH(BY637,BG$617:BG$649,0))</f>
        <v>0</v>
      </c>
      <c r="BI637" s="324" t="n">
        <f aca="true">IF(BH637,OFFSET(Q$35,BH637,0),0)</f>
        <v>0</v>
      </c>
      <c r="BJ637" s="329" t="str">
        <f aca="false">IF(P200&lt;&gt;"",M200," ")</f>
        <v> </v>
      </c>
      <c r="BK637" s="112" t="n">
        <f aca="false">IF(P200="",0,Q200)</f>
        <v>0</v>
      </c>
      <c r="BL637" s="112" t="n">
        <f aca="false">BL636+IF(BJ637&lt;&gt;" ",BK637,0)</f>
        <v>2</v>
      </c>
      <c r="BM637" s="112" t="n">
        <f aca="false">R200</f>
        <v>1</v>
      </c>
      <c r="BN637" s="112" t="n">
        <f aca="false">BN636+IF(BJ637&lt;&gt;" ",BM637,0)</f>
        <v>0</v>
      </c>
      <c r="BO637" s="329" t="str">
        <f aca="false">BO638&amp;IF(BJ637&lt;&gt;" ",", "&amp;BJ637&amp;" ("&amp;BK637&amp;")","")</f>
        <v>, Karma (3), Horror Fend (3)</v>
      </c>
      <c r="BP637" s="327" t="n">
        <f aca="false">BP636+IF(BJ637&lt;&gt;" ",1,0)</f>
        <v>1</v>
      </c>
      <c r="BQ637" s="332"/>
      <c r="BY637" s="333" t="n">
        <f aca="false">BY636+1</f>
        <v>21</v>
      </c>
      <c r="BZ637" s="329" t="str">
        <f aca="false">H239</f>
        <v>Cloak, Fur-trimmed</v>
      </c>
      <c r="CA637" s="112" t="n">
        <f aca="false">K239</f>
        <v>0</v>
      </c>
      <c r="CB637" s="112" t="n">
        <f aca="false">L239</f>
        <v>50</v>
      </c>
      <c r="CC637" s="112" t="s">
        <v>301</v>
      </c>
      <c r="CD637" s="329" t="n">
        <f aca="false">FIND(",",BZ637)</f>
        <v>6</v>
      </c>
      <c r="CE637" s="329" t="str">
        <f aca="false">IF(ISERROR(CD637),BZ637,MID(BZ637,CD637+2,20)&amp;" "&amp;LEFT(BZ637,CD637-1))&amp;IF(ISERROR(VALUE(CA637)),"",IF(CA637&gt;1," ("&amp;CA637&amp;")",""))</f>
        <v>Fur-trimmed Cloak</v>
      </c>
      <c r="CF637" s="329" t="str">
        <f aca="false">IF(CC637=" "," ",IF(ISERROR(VALUE(CA637)),CC637,CA637*CC637))</f>
        <v> </v>
      </c>
      <c r="CG637" s="112" t="n">
        <f aca="false">CG636+IF(AND(BZ637&lt;&gt;0,CA637&lt;&gt;0),1,0)</f>
        <v>3</v>
      </c>
      <c r="CH637" s="112" t="n">
        <f aca="false">IF($BY637&lt;=CH$615,MATCH($BY637,CG$617:CG$863,0))</f>
        <v>120</v>
      </c>
    </row>
    <row r="638" s="32" customFormat="true" ht="12.8" hidden="false" customHeight="false" outlineLevel="0" collapsed="false">
      <c r="B638" s="279" t="n">
        <v>8</v>
      </c>
      <c r="C638" s="67" t="n">
        <f aca="false">AQ39</f>
        <v>0</v>
      </c>
      <c r="D638" s="67" t="n">
        <f aca="false">IF(RIGHT(C638, 3)="(D)",LEFT(C638,LEN(C638)-4),C638)</f>
        <v>0</v>
      </c>
      <c r="E638" s="64" t="n">
        <f aca="false">F39</f>
        <v>0</v>
      </c>
      <c r="F638" s="182" t="n">
        <f aca="true">OFFSET(Cost_5_8,E638,0)</f>
        <v>0</v>
      </c>
      <c r="G638" s="64" t="e">
        <f aca="false">IF(C638&lt;&gt;" ",MATCH(D638,Talents!B$3:B$345,1),0)</f>
        <v>#N/A</v>
      </c>
      <c r="H638" s="64" t="e">
        <f aca="true">IF(G638=0," ",OFFSET(Talents!C$2,G638,0))</f>
        <v>#N/A</v>
      </c>
      <c r="I638" s="64" t="n">
        <f aca="false">IF(E638&gt;0,G39,0)</f>
        <v>0</v>
      </c>
      <c r="J638" s="64" t="e">
        <f aca="false">IF(H638&lt;&gt;" ",E638+VLOOKUP(H638,G$597:L$603,6,0)+I638," ")</f>
        <v>#N/A</v>
      </c>
      <c r="K638" s="64" t="e">
        <f aca="true">IF(J638&lt;&gt;" ",OFFSET(ActionDice,J638,0),"-")</f>
        <v>#N/A</v>
      </c>
      <c r="L638" s="67" t="n">
        <f aca="false">OR(RIGHT(C638, 3)="(D)", NOT(ISERROR(MATCH(D638&amp;" (D)", C$657:C$697, 0))))</f>
        <v>0</v>
      </c>
      <c r="M638" s="64" t="e">
        <f aca="true">IF(G638&gt;0,IF(L638,"D",OFFSET(Talents!D$2,G638,0))&amp;OFFSET(Talents!E$2,G638,0)," ")</f>
        <v>#N/A</v>
      </c>
      <c r="N638" s="64" t="n">
        <f aca="false">AND(I39="",C638&lt;&gt;" ")</f>
        <v>0</v>
      </c>
      <c r="O638" s="300" t="n">
        <f aca="false">O637+IF(N637,1,0)</f>
        <v>18</v>
      </c>
      <c r="P638" s="324" t="n">
        <f aca="false">IF(Build!$BY638&lt;=Build!P$615,MATCH(Build!$BY638,Build!O$617:O$714,0))</f>
        <v>86</v>
      </c>
      <c r="Q638" s="112" t="n">
        <f aca="false">Q637+IF(E211&lt;&gt;"",1,0)</f>
        <v>0</v>
      </c>
      <c r="R638" s="324"/>
      <c r="S638" s="112" t="n">
        <f aca="false">S637+IF(E136&lt;&gt;"",1,0)</f>
        <v>1</v>
      </c>
      <c r="T638" s="112"/>
      <c r="U638" s="300" t="n">
        <f aca="false">U637+IF(B414&lt;&gt;"",1,0)</f>
        <v>0</v>
      </c>
      <c r="V638" s="112" t="n">
        <f aca="false">V637+IF(B446&lt;&gt;"",1,0)</f>
        <v>0</v>
      </c>
      <c r="W638" s="112" t="n">
        <f aca="false">W637+IF(B478&lt;&gt;"",1,0)</f>
        <v>0</v>
      </c>
      <c r="X638" s="112" t="n">
        <f aca="false">X637+IF(B510&lt;&gt;"",1,0)</f>
        <v>0</v>
      </c>
      <c r="Y638" s="112" t="n">
        <f aca="false">Y637+IF(B542&lt;&gt;"",1,0)</f>
        <v>0</v>
      </c>
      <c r="Z638" s="324" t="n">
        <f aca="false">IF(B574&lt;&gt;"",1,0)</f>
        <v>0</v>
      </c>
      <c r="AA638" s="300" t="n">
        <f aca="false">IF($BY638&lt;=U$615,MATCH($BY638,U$617:U$737,0))</f>
        <v>0</v>
      </c>
      <c r="AB638" s="112" t="n">
        <f aca="false">IF($BY638&lt;=V$615,MATCH($BY638,V$617:V$737,0))</f>
        <v>0</v>
      </c>
      <c r="AC638" s="112" t="n">
        <f aca="false">IF($BY638&lt;=W$615,MATCH($BY638,W$617:W$737,0))</f>
        <v>0</v>
      </c>
      <c r="AD638" s="112" t="n">
        <f aca="false">IF($BY638&lt;=X$615,MATCH($BY638,X$617:X$737,0))</f>
        <v>0</v>
      </c>
      <c r="AE638" s="112" t="n">
        <f aca="false">IF($BY638&lt;=Y$615,MATCH($BY638,Y$617:Y$737,0))</f>
        <v>0</v>
      </c>
      <c r="AF638" s="324" t="n">
        <f aca="false">IF($BY638&lt;=Z$615,MATCH($BY638,Z$617:Z$737,0))</f>
        <v>0</v>
      </c>
      <c r="AG638" s="325" t="str">
        <f aca="true">IF(AND(AA638&lt;="",AP29=""),OFFSET(Spells!H$2,AA638,0),"")</f>
        <v>Effect</v>
      </c>
      <c r="AH638" s="325" t="str">
        <f aca="true">IF(AND(AB638&lt;="",AP29=""),OFFSET(Spells!R$2,AB638,0),"")</f>
        <v>Effect</v>
      </c>
      <c r="AI638" s="325" t="str">
        <f aca="true">IF(AND(AC638&lt;="",AP29=""),OFFSET(Spells!AB$2,AC638,0),"")</f>
        <v>Effect</v>
      </c>
      <c r="AJ638" s="326" t="str">
        <f aca="true">IF(AND(AD638&lt;="",AP29=""),OFFSET(Spells!AL$2,AD638,0),"")</f>
        <v>Effect</v>
      </c>
      <c r="AK638" s="326" t="str">
        <f aca="true">IF(AND(AE638&lt;="",AP29=""),OFFSET(Spells!AV$2,AE638,0),"")</f>
        <v>Effect</v>
      </c>
      <c r="AL638" s="325" t="str">
        <f aca="true">IF(AND(AF638&lt;="",AP29=""),OFFSET(Spells!$H$2,AF638,0),"")</f>
        <v>Effect</v>
      </c>
      <c r="AM638" s="327" t="str">
        <f aca="false">IF(L73&lt;&gt;"",L73," ")</f>
        <v> </v>
      </c>
      <c r="AN638" s="112" t="n">
        <f aca="false">IF(AM638&gt;0, O73, 0)</f>
        <v>0</v>
      </c>
      <c r="AO638" s="112" t="n">
        <f aca="false">IF(AN638&gt;0,Q73,0)</f>
        <v>0</v>
      </c>
      <c r="AP638" s="112" t="n">
        <f aca="false">AP637+IF(AND(AM638&lt;&gt;" ",AN638&gt;0),1,0)</f>
        <v>5</v>
      </c>
      <c r="AQ638" s="324"/>
      <c r="AR638" s="327" t="str">
        <f aca="false">B104&amp;IF(H104&lt;&gt;""," ("&amp;H104&amp;")","")</f>
        <v>Court Dancing</v>
      </c>
      <c r="AS638" s="112" t="n">
        <f aca="false">F104</f>
        <v>0</v>
      </c>
      <c r="AT638" s="112" t="n">
        <f aca="true">OFFSET(CostSkill,AS638,0)-OFFSET(CostSkill,E104,0)</f>
        <v>0</v>
      </c>
      <c r="AU638" s="112" t="str">
        <f aca="false">G104</f>
        <v>C</v>
      </c>
      <c r="AV638" s="112" t="n">
        <f aca="false">AV637+IF(AND(AR638&lt;&gt;" ",AS638&gt;0),1,0)</f>
        <v>6</v>
      </c>
      <c r="AW638" s="324" t="n">
        <f aca="false">IF($BY638&lt;=AW$615,MATCH(BY638,AV$617:AV$763,0))</f>
        <v>0</v>
      </c>
      <c r="AX638" s="327" t="str">
        <f aca="false">IF(Discipline1&lt;&gt;"",HLOOKUP(Discipline1,knackfordic,BY635)," ")</f>
        <v>Feinting Lunge</v>
      </c>
      <c r="AY638" s="329" t="n">
        <f aca="false">MATCH(AX638,Talents!G$3:G$210)</f>
        <v>77</v>
      </c>
      <c r="AZ638" s="329" t="str">
        <f aca="true">IF(AY638,OFFSET(Talents!H$2,Build!AY638,0)," ")</f>
        <v>Trick Riding</v>
      </c>
      <c r="BA638" s="112" t="n">
        <f aca="true">IF(AY638,OFFSET(Talents!J$2,Build!AY638,0)," ")</f>
        <v>3</v>
      </c>
      <c r="BB638" s="112" t="n">
        <f aca="true">IF(AY638,OFFSET(Talents!I$2,Build!AY638,0)," ")</f>
        <v>6</v>
      </c>
      <c r="BC638" s="112" t="n">
        <f aca="true">IF(AY638,OFFSET(Talents!K$2,Build!AY638,0)," ")</f>
        <v>3400</v>
      </c>
      <c r="BD638" s="112" t="e">
        <f aca="true">IF(AX$663=" ",OFFSET(E$615,MATCH(AZ638,D$616:D$656,0),0),IF(ISERROR(MATCH(AZ638,D$657:D$697,0)),OFFSET(E$615,MATCH(AZ638,D$616:D$656,0),0),IF(OFFSET(E$615,MATCH(AZ638,D$616:D$656,0),0)&gt;OFFSET(E$656,MATCH(AZ638,D$657:D$697,0),0),OFFSET(E$615,MATCH(AZ638,D$616:D$656,0),0),OFFSET(E$656,MATCH(AZ638,D$657:D$697,0),0))))</f>
        <v>#N/A</v>
      </c>
      <c r="BE638" s="112" t="n">
        <f aca="false">BE637+IF(ISERROR(BD638), 0, IF(BD638&gt;=BB638, 1, 0))</f>
        <v>13</v>
      </c>
      <c r="BF638" s="324" t="n">
        <f aca="false">IF($BY638&lt;=BF$615,MATCH(BY638,BE$617:BE$681,0))</f>
        <v>0</v>
      </c>
      <c r="BG638" s="112" t="n">
        <f aca="false">BG637+IF(AND(K57&lt;&gt;" ",N57&lt;&gt;""),1,0)</f>
        <v>2</v>
      </c>
      <c r="BH638" s="112" t="n">
        <f aca="false">IF($BY638&lt;=BH$615,MATCH(BY638,BG$617:BG$649,0))</f>
        <v>0</v>
      </c>
      <c r="BI638" s="324" t="n">
        <f aca="true">IF(BH638,OFFSET(Q$35,BH638,0),0)</f>
        <v>0</v>
      </c>
      <c r="BJ638" s="329" t="str">
        <f aca="false">IF(P201&lt;&gt;"",M201," ")</f>
        <v> </v>
      </c>
      <c r="BK638" s="112" t="n">
        <f aca="false">IF(P201="",0,Q201)</f>
        <v>0</v>
      </c>
      <c r="BL638" s="112" t="n">
        <f aca="false">BL637+IF(BJ638&lt;&gt;" ",BK638,0)</f>
        <v>2</v>
      </c>
      <c r="BM638" s="112" t="n">
        <f aca="false">R201</f>
        <v>1</v>
      </c>
      <c r="BN638" s="112" t="n">
        <f aca="false">BN637+IF(BJ638&lt;&gt;" ",BM638,0)</f>
        <v>0</v>
      </c>
      <c r="BO638" s="329" t="str">
        <f aca="false">BO639&amp;IF(BJ638&lt;&gt;" ",", "&amp;BJ638&amp;" ("&amp;BK638&amp;")","")</f>
        <v>, Karma (3), Horror Fend (3)</v>
      </c>
      <c r="BP638" s="327" t="n">
        <f aca="false">BP637+IF(BJ638&lt;&gt;" ",1,0)</f>
        <v>1</v>
      </c>
      <c r="BQ638" s="332"/>
      <c r="BY638" s="333" t="n">
        <f aca="false">BY637+1</f>
        <v>22</v>
      </c>
      <c r="BZ638" s="329" t="str">
        <f aca="false">H240</f>
        <v>Cloak, Espagra-scale</v>
      </c>
      <c r="CA638" s="112" t="n">
        <f aca="false">K240</f>
        <v>0</v>
      </c>
      <c r="CB638" s="112" t="n">
        <f aca="false">L240</f>
        <v>200</v>
      </c>
      <c r="CC638" s="112" t="s">
        <v>301</v>
      </c>
      <c r="CD638" s="329" t="n">
        <f aca="false">FIND(",",BZ638)</f>
        <v>6</v>
      </c>
      <c r="CE638" s="329" t="str">
        <f aca="false">IF(ISERROR(CD638),BZ638,MID(BZ638,CD638+2,20)&amp;" "&amp;LEFT(BZ638,CD638-1))&amp;IF(ISERROR(VALUE(CA638)),"",IF(CA638&gt;1," ("&amp;CA638&amp;")",""))</f>
        <v>Espagra-scale Cloak</v>
      </c>
      <c r="CF638" s="329" t="str">
        <f aca="false">IF(CC638=" "," ",IF(ISERROR(VALUE(CA638)),CC638,CA638*CC638))</f>
        <v> </v>
      </c>
      <c r="CG638" s="112" t="n">
        <f aca="false">CG637+IF(AND(BZ638&lt;&gt;0,CA638&lt;&gt;0),1,0)</f>
        <v>3</v>
      </c>
      <c r="CH638" s="112" t="n">
        <f aca="false">IF($BY638&lt;=CH$615,MATCH($BY638,CG$617:CG$863,0))</f>
        <v>140</v>
      </c>
    </row>
    <row r="639" s="32" customFormat="true" ht="12.8" hidden="false" customHeight="false" outlineLevel="0" collapsed="false">
      <c r="B639" s="279" t="n">
        <v>8</v>
      </c>
      <c r="C639" s="67" t="n">
        <f aca="false">AQ40</f>
        <v>0</v>
      </c>
      <c r="D639" s="67" t="n">
        <f aca="false">IF(RIGHT(C639, 3)="(D)",LEFT(C639,LEN(C639)-4),C639)</f>
        <v>0</v>
      </c>
      <c r="E639" s="64" t="n">
        <f aca="false">F40</f>
        <v>0</v>
      </c>
      <c r="F639" s="182" t="n">
        <f aca="true">OFFSET(Cost_5_8,E639,0)</f>
        <v>0</v>
      </c>
      <c r="G639" s="64" t="e">
        <f aca="false">IF(C639&lt;&gt;" ",MATCH(D639,Talents!B$3:B$345,1),0)</f>
        <v>#N/A</v>
      </c>
      <c r="H639" s="64" t="e">
        <f aca="true">IF(G639=0," ",OFFSET(Talents!C$2,G639,0))</f>
        <v>#N/A</v>
      </c>
      <c r="I639" s="64" t="n">
        <f aca="false">IF(E639&gt;0,G40,0)</f>
        <v>0</v>
      </c>
      <c r="J639" s="64" t="e">
        <f aca="false">IF(H639&lt;&gt;" ",E639+VLOOKUP(H639,G$597:L$603,6,0)+I639," ")</f>
        <v>#N/A</v>
      </c>
      <c r="K639" s="64" t="e">
        <f aca="true">IF(J639&lt;&gt;" ",OFFSET(ActionDice,J639,0),"-")</f>
        <v>#N/A</v>
      </c>
      <c r="L639" s="67" t="n">
        <f aca="false">OR(RIGHT(C639, 3)="(D)", NOT(ISERROR(MATCH(D639&amp;" (D)", C$657:C$697, 0))))</f>
        <v>0</v>
      </c>
      <c r="M639" s="64" t="e">
        <f aca="true">IF(G639&gt;0,IF(L639,"D",OFFSET(Talents!D$2,G639,0))&amp;OFFSET(Talents!E$2,G639,0)," ")</f>
        <v>#N/A</v>
      </c>
      <c r="N639" s="64" t="n">
        <f aca="false">AND(I40="",C639&lt;&gt;" ")</f>
        <v>0</v>
      </c>
      <c r="O639" s="300" t="n">
        <f aca="false">O638+IF(N638,1,0)</f>
        <v>18</v>
      </c>
      <c r="P639" s="324" t="n">
        <f aca="false">IF(Build!$BY639&lt;=Build!P$615,MATCH(Build!$BY639,Build!O$617:O$714,0))</f>
        <v>87</v>
      </c>
      <c r="Q639" s="112" t="n">
        <f aca="false">Q638+IF(E212&lt;&gt;"",1,0)</f>
        <v>0</v>
      </c>
      <c r="R639" s="324"/>
      <c r="S639" s="112" t="n">
        <f aca="false">S638+IF(E137&lt;&gt;"",1,0)</f>
        <v>1</v>
      </c>
      <c r="T639" s="112"/>
      <c r="U639" s="300" t="n">
        <f aca="false">U638+IF(B415&lt;&gt;"",1,0)</f>
        <v>0</v>
      </c>
      <c r="V639" s="112" t="n">
        <f aca="false">V638+IF(B447&lt;&gt;"",1,0)</f>
        <v>0</v>
      </c>
      <c r="W639" s="112" t="n">
        <f aca="false">W638+IF(B479&lt;&gt;"",1,0)</f>
        <v>0</v>
      </c>
      <c r="X639" s="112" t="n">
        <f aca="false">X638+IF(B511&lt;&gt;"",1,0)</f>
        <v>0</v>
      </c>
      <c r="Y639" s="112" t="n">
        <f aca="false">Y638+IF(B543&lt;&gt;"",1,0)</f>
        <v>0</v>
      </c>
      <c r="Z639" s="324" t="n">
        <f aca="false">IF(B575&lt;&gt;"",1,0)</f>
        <v>0</v>
      </c>
      <c r="AA639" s="300" t="n">
        <f aca="false">IF($BY639&lt;=U$615,MATCH($BY639,U$617:U$737,0))</f>
        <v>0</v>
      </c>
      <c r="AB639" s="112" t="n">
        <f aca="false">IF($BY639&lt;=V$615,MATCH($BY639,V$617:V$737,0))</f>
        <v>0</v>
      </c>
      <c r="AC639" s="112" t="n">
        <f aca="false">IF($BY639&lt;=W$615,MATCH($BY639,W$617:W$737,0))</f>
        <v>0</v>
      </c>
      <c r="AD639" s="112" t="n">
        <f aca="false">IF($BY639&lt;=X$615,MATCH($BY639,X$617:X$737,0))</f>
        <v>0</v>
      </c>
      <c r="AE639" s="112" t="n">
        <f aca="false">IF($BY639&lt;=Y$615,MATCH($BY639,Y$617:Y$737,0))</f>
        <v>0</v>
      </c>
      <c r="AF639" s="324" t="n">
        <f aca="false">IF($BY639&lt;=Z$615,MATCH($BY639,Z$617:Z$737,0))</f>
        <v>0</v>
      </c>
      <c r="AG639" s="325" t="str">
        <f aca="true">IF(AND(AA639&lt;="",AP30=""),OFFSET(Spells!H$2,AA639,0),"")</f>
        <v>Effect</v>
      </c>
      <c r="AH639" s="325" t="str">
        <f aca="true">IF(AND(AB639&lt;="",AP30=""),OFFSET(Spells!R$2,AB639,0),"")</f>
        <v>Effect</v>
      </c>
      <c r="AI639" s="325" t="str">
        <f aca="true">IF(AND(AC639&lt;="",AP30=""),OFFSET(Spells!AB$2,AC639,0),"")</f>
        <v>Effect</v>
      </c>
      <c r="AJ639" s="326" t="str">
        <f aca="true">IF(AND(AD639&lt;="",AP30=""),OFFSET(Spells!AL$2,AD639,0),"")</f>
        <v>Effect</v>
      </c>
      <c r="AK639" s="326" t="str">
        <f aca="true">IF(AND(AE639&lt;="",AP30=""),OFFSET(Spells!AV$2,AE639,0),"")</f>
        <v>Effect</v>
      </c>
      <c r="AL639" s="325" t="str">
        <f aca="true">IF(AND(AF639&lt;="",AP30=""),OFFSET(Spells!$H$2,AF639,0),"")</f>
        <v>Effect</v>
      </c>
      <c r="AM639" s="327" t="str">
        <f aca="false">IF(L74&lt;&gt;"",L74," ")</f>
        <v> </v>
      </c>
      <c r="AN639" s="112" t="n">
        <f aca="false">IF(AM639&gt;0, O74, 0)</f>
        <v>0</v>
      </c>
      <c r="AO639" s="112" t="n">
        <f aca="false">IF(AN639&gt;0,Q74,0)</f>
        <v>0</v>
      </c>
      <c r="AP639" s="112" t="n">
        <f aca="false">AP638+IF(AND(AM639&lt;&gt;" ",AN639&gt;0),1,0)</f>
        <v>5</v>
      </c>
      <c r="AQ639" s="324"/>
      <c r="AR639" s="327" t="str">
        <f aca="false">B105&amp;IF(H105&lt;&gt;""," ("&amp;H105&amp;")","")</f>
        <v>Entertainer</v>
      </c>
      <c r="AS639" s="112" t="n">
        <f aca="false">F105</f>
        <v>0</v>
      </c>
      <c r="AT639" s="112" t="n">
        <f aca="true">OFFSET(CostSkill,AS639,0)-OFFSET(CostSkill,E105,0)</f>
        <v>0</v>
      </c>
      <c r="AU639" s="112" t="str">
        <f aca="false">G105</f>
        <v>C</v>
      </c>
      <c r="AV639" s="112" t="n">
        <f aca="false">AV638+IF(AND(AR639&lt;&gt;" ",AS639&gt;0),1,0)</f>
        <v>6</v>
      </c>
      <c r="AW639" s="324" t="n">
        <f aca="false">IF($BY639&lt;=AW$615,MATCH(BY639,AV$617:AV$763,0))</f>
        <v>0</v>
      </c>
      <c r="AX639" s="327" t="str">
        <f aca="false">IF(Discipline1&lt;&gt;"",HLOOKUP(Discipline1,knackfordic,BY636)," ")</f>
        <v>Feinting Retreat</v>
      </c>
      <c r="AY639" s="329" t="n">
        <f aca="false">MATCH(AX639,Talents!G$3:G$210)</f>
        <v>78</v>
      </c>
      <c r="AZ639" s="329" t="str">
        <f aca="true">IF(AY639,OFFSET(Talents!H$2,Build!AY639,0)," ")</f>
        <v>Trick Riding</v>
      </c>
      <c r="BA639" s="112" t="n">
        <f aca="true">IF(AY639,OFFSET(Talents!J$2,Build!AY639,0)," ")</f>
        <v>3</v>
      </c>
      <c r="BB639" s="112" t="n">
        <f aca="true">IF(AY639,OFFSET(Talents!I$2,Build!AY639,0)," ")</f>
        <v>5</v>
      </c>
      <c r="BC639" s="112" t="n">
        <f aca="true">IF(AY639,OFFSET(Talents!K$2,Build!AY639,0)," ")</f>
        <v>2100</v>
      </c>
      <c r="BD639" s="112" t="e">
        <f aca="true">IF(AX$663=" ",OFFSET(E$615,MATCH(AZ639,D$616:D$656,0),0),IF(ISERROR(MATCH(AZ639,D$657:D$697,0)),OFFSET(E$615,MATCH(AZ639,D$616:D$656,0),0),IF(OFFSET(E$615,MATCH(AZ639,D$616:D$656,0),0)&gt;OFFSET(E$656,MATCH(AZ639,D$657:D$697,0),0),OFFSET(E$615,MATCH(AZ639,D$616:D$656,0),0),OFFSET(E$656,MATCH(AZ639,D$657:D$697,0),0))))</f>
        <v>#N/A</v>
      </c>
      <c r="BE639" s="112" t="n">
        <f aca="false">BE638+IF(ISERROR(BD639), 0, IF(BD639&gt;=BB639, 1, 0))</f>
        <v>13</v>
      </c>
      <c r="BF639" s="324" t="n">
        <f aca="false">IF($BY639&lt;=BF$615,MATCH(BY639,BE$617:BE$681,0))</f>
        <v>0</v>
      </c>
      <c r="BG639" s="112" t="n">
        <f aca="false">BG638+IF(AND(K58&lt;&gt;" ",N58&lt;&gt;""),1,0)</f>
        <v>2</v>
      </c>
      <c r="BH639" s="112" t="n">
        <f aca="false">IF($BY639&lt;=BH$615,MATCH(BY639,BG$617:BG$649,0))</f>
        <v>0</v>
      </c>
      <c r="BI639" s="324" t="n">
        <f aca="true">IF(BH639,OFFSET(Q$35,BH639,0),0)</f>
        <v>0</v>
      </c>
      <c r="BJ639" s="329" t="str">
        <f aca="false">IF(P202&lt;&gt;"",M202," ")</f>
        <v> </v>
      </c>
      <c r="BK639" s="112" t="n">
        <f aca="false">IF(P202="",0,Q202)</f>
        <v>0</v>
      </c>
      <c r="BL639" s="112" t="n">
        <f aca="false">BL638+IF(BJ639&lt;&gt;" ",BK639,0)</f>
        <v>2</v>
      </c>
      <c r="BM639" s="112" t="n">
        <f aca="false">R202</f>
        <v>0</v>
      </c>
      <c r="BN639" s="112" t="n">
        <f aca="false">BN638+IF(BJ639&lt;&gt;" ",BM639,0)</f>
        <v>0</v>
      </c>
      <c r="BO639" s="329" t="str">
        <f aca="false">BO640&amp;IF(BJ639&lt;&gt;" ",", "&amp;BJ639&amp;" ("&amp;BK639&amp;")","")</f>
        <v>, Karma (3), Horror Fend (3)</v>
      </c>
      <c r="BP639" s="327" t="n">
        <f aca="false">BP638+IF(BJ639&lt;&gt;" ",1,0)</f>
        <v>1</v>
      </c>
      <c r="BQ639" s="332"/>
      <c r="BY639" s="333" t="n">
        <f aca="false">BY638+1</f>
        <v>23</v>
      </c>
      <c r="BZ639" s="329" t="str">
        <f aca="false">H241</f>
        <v>Cloak, Dwarf Winternight</v>
      </c>
      <c r="CA639" s="112" t="n">
        <f aca="false">K241</f>
        <v>0</v>
      </c>
      <c r="CB639" s="112" t="n">
        <f aca="false">L241</f>
        <v>275</v>
      </c>
      <c r="CC639" s="112" t="s">
        <v>301</v>
      </c>
      <c r="CD639" s="329" t="n">
        <f aca="false">FIND(",",BZ639)</f>
        <v>6</v>
      </c>
      <c r="CE639" s="329" t="str">
        <f aca="false">IF(ISERROR(CD639),BZ639,MID(BZ639,CD639+2,20)&amp;" "&amp;LEFT(BZ639,CD639-1))&amp;IF(ISERROR(VALUE(CA639)),"",IF(CA639&gt;1," ("&amp;CA639&amp;")",""))</f>
        <v>Dwarf Winternight Cloak</v>
      </c>
      <c r="CF639" s="329" t="str">
        <f aca="false">IF(CC639=" "," ",IF(ISERROR(VALUE(CA639)),CC639,CA639*CC639))</f>
        <v> </v>
      </c>
      <c r="CG639" s="112" t="n">
        <f aca="false">CG638+IF(AND(BZ639&lt;&gt;0,CA639&lt;&gt;0),1,0)</f>
        <v>3</v>
      </c>
      <c r="CH639" s="112" t="n">
        <f aca="false">IF($BY639&lt;=CH$615,MATCH($BY639,CG$617:CG$863,0))</f>
        <v>151</v>
      </c>
    </row>
    <row r="640" s="32" customFormat="true" ht="12.8" hidden="false" customHeight="false" outlineLevel="0" collapsed="false">
      <c r="B640" s="279" t="n">
        <v>9</v>
      </c>
      <c r="C640" s="67" t="str">
        <f aca="false">IF(Circle1&gt;=$B640,HLOOKUP(Discipline1,talentfordisc,1+BY641,0)," ")</f>
        <v> </v>
      </c>
      <c r="D640" s="67" t="str">
        <f aca="false">IF(RIGHT(C640, 3)="(D)",LEFT(C640,LEN(C640)-4),C640)</f>
        <v> </v>
      </c>
      <c r="E640" s="64" t="n">
        <f aca="false">F41</f>
        <v>0</v>
      </c>
      <c r="F640" s="182" t="n">
        <f aca="true">OFFSET(Cost_9_12,E640,0)</f>
        <v>0</v>
      </c>
      <c r="G640" s="64" t="n">
        <f aca="false">IF(C640&lt;&gt;" ",MATCH(D640,Talents!B$3:B$345,1),0)</f>
        <v>0</v>
      </c>
      <c r="H640" s="64" t="str">
        <f aca="true">IF(G640=0," ",OFFSET(Talents!C$2,G640,0))</f>
        <v> </v>
      </c>
      <c r="I640" s="64" t="n">
        <f aca="false">IF(E640&gt;0,G41,0)</f>
        <v>0</v>
      </c>
      <c r="J640" s="64" t="str">
        <f aca="false">IF(H640&lt;&gt;" ",E640+VLOOKUP(H640,G$597:L$603,6,0)+I640," ")</f>
        <v> </v>
      </c>
      <c r="K640" s="64" t="str">
        <f aca="true">IF(J640&lt;&gt;" ",OFFSET(ActionDice,J640,0),"-")</f>
        <v>-</v>
      </c>
      <c r="L640" s="67" t="n">
        <f aca="false">OR(RIGHT(C640, 3)="(D)", NOT(ISERROR(MATCH(D640&amp;" (D)", C$657:C$697, 0))))</f>
        <v>0</v>
      </c>
      <c r="M640" s="64" t="str">
        <f aca="true">IF(G640&gt;0,IF(L640,"D",OFFSET(Talents!D$2,G640,0))&amp;OFFSET(Talents!E$2,G640,0)," ")</f>
        <v> </v>
      </c>
      <c r="N640" s="64" t="n">
        <f aca="false">AND(I41="",C640&lt;&gt;" ")</f>
        <v>0</v>
      </c>
      <c r="O640" s="300" t="n">
        <f aca="false">O639+IF(N639,1,0)</f>
        <v>18</v>
      </c>
      <c r="P640" s="324" t="n">
        <f aca="false">IF(Build!$BY640&lt;=Build!P$615,MATCH(Build!$BY640,Build!O$617:O$714,0))</f>
        <v>88</v>
      </c>
      <c r="Q640" s="112" t="n">
        <f aca="false">Q639+IF(E213&lt;&gt;"",1,0)</f>
        <v>0</v>
      </c>
      <c r="R640" s="324"/>
      <c r="S640" s="112" t="n">
        <f aca="false">S639+IF(E138&lt;&gt;"",1,0)</f>
        <v>1</v>
      </c>
      <c r="T640" s="112"/>
      <c r="U640" s="300" t="n">
        <f aca="false">U639+IF(B416&lt;&gt;"",1,0)</f>
        <v>0</v>
      </c>
      <c r="V640" s="112" t="n">
        <f aca="false">V639+IF(B448&lt;&gt;"",1,0)</f>
        <v>0</v>
      </c>
      <c r="W640" s="112" t="n">
        <f aca="false">W639+IF(B480&lt;&gt;"",1,0)</f>
        <v>0</v>
      </c>
      <c r="X640" s="112" t="n">
        <f aca="false">X639+IF(B512&lt;&gt;"",1,0)</f>
        <v>0</v>
      </c>
      <c r="Y640" s="112" t="n">
        <f aca="false">Y639+IF(B544&lt;&gt;"",1,0)</f>
        <v>0</v>
      </c>
      <c r="Z640" s="324" t="n">
        <f aca="false">IF(B576&lt;&gt;"",1,0)</f>
        <v>0</v>
      </c>
      <c r="AA640" s="300" t="n">
        <f aca="false">IF($BY640&lt;=U$615,MATCH($BY640,U$617:U$737,0))</f>
        <v>0</v>
      </c>
      <c r="AB640" s="112" t="n">
        <f aca="false">IF($BY640&lt;=V$615,MATCH($BY640,V$617:V$737,0))</f>
        <v>0</v>
      </c>
      <c r="AC640" s="112" t="n">
        <f aca="false">IF($BY640&lt;=W$615,MATCH($BY640,W$617:W$737,0))</f>
        <v>0</v>
      </c>
      <c r="AD640" s="112" t="n">
        <f aca="false">IF($BY640&lt;=X$615,MATCH($BY640,X$617:X$737,0))</f>
        <v>0</v>
      </c>
      <c r="AE640" s="112" t="n">
        <f aca="false">IF($BY640&lt;=Y$615,MATCH($BY640,Y$617:Y$737,0))</f>
        <v>0</v>
      </c>
      <c r="AF640" s="324" t="n">
        <f aca="false">IF($BY640&lt;=Z$615,MATCH($BY640,Z$617:Z$737,0))</f>
        <v>0</v>
      </c>
      <c r="AG640" s="325" t="str">
        <f aca="true">IF(AND(AA640&lt;="",AP31=""),OFFSET(Spells!H$2,AA640,0),"")</f>
        <v>Effect</v>
      </c>
      <c r="AH640" s="325" t="str">
        <f aca="true">IF(AND(AB640&lt;="",AP31=""),OFFSET(Spells!R$2,AB640,0),"")</f>
        <v>Effect</v>
      </c>
      <c r="AI640" s="325" t="str">
        <f aca="true">IF(AND(AC640&lt;="",AP31=""),OFFSET(Spells!AB$2,AC640,0),"")</f>
        <v>Effect</v>
      </c>
      <c r="AJ640" s="326" t="str">
        <f aca="true">IF(AND(AD640&lt;="",AP31=""),OFFSET(Spells!AL$2,AD640,0),"")</f>
        <v>Effect</v>
      </c>
      <c r="AK640" s="326" t="str">
        <f aca="true">IF(AND(AE640&lt;="",AP31=""),OFFSET(Spells!AV$2,AE640,0),"")</f>
        <v>Effect</v>
      </c>
      <c r="AL640" s="325" t="str">
        <f aca="true">IF(AND(AF640&lt;="",AP31=""),OFFSET(Spells!$H$2,AF640,0),"")</f>
        <v>Effect</v>
      </c>
      <c r="AM640" s="327" t="str">
        <f aca="false">IF(L75&lt;&gt;"",L75," ")</f>
        <v> </v>
      </c>
      <c r="AN640" s="112" t="n">
        <f aca="false">IF(AM640&gt;0, O75, 0)</f>
        <v>0</v>
      </c>
      <c r="AO640" s="112" t="n">
        <f aca="false">IF(AN640&gt;0,Q75,0)</f>
        <v>0</v>
      </c>
      <c r="AP640" s="112" t="n">
        <f aca="false">AP639+IF(AND(AM640&lt;&gt;" ",AN640&gt;0),1,0)</f>
        <v>5</v>
      </c>
      <c r="AQ640" s="324"/>
      <c r="AR640" s="327" t="str">
        <f aca="false">B106&amp;IF(H106&lt;&gt;""," ("&amp;H106&amp;")","")</f>
        <v>Robe Embroidery</v>
      </c>
      <c r="AS640" s="112" t="n">
        <f aca="false">F106</f>
        <v>0</v>
      </c>
      <c r="AT640" s="112" t="n">
        <f aca="true">OFFSET(CostSkill,AS640,0)-OFFSET(CostSkill,E106,0)</f>
        <v>0</v>
      </c>
      <c r="AU640" s="112" t="str">
        <f aca="false">G106</f>
        <v>C</v>
      </c>
      <c r="AV640" s="112" t="n">
        <f aca="false">AV639+IF(AND(AR640&lt;&gt;" ",AS640&gt;0),1,0)</f>
        <v>6</v>
      </c>
      <c r="AW640" s="324" t="n">
        <f aca="false">IF($BY640&lt;=AW$615,MATCH(BY640,AV$617:AV$763,0))</f>
        <v>0</v>
      </c>
      <c r="AX640" s="327" t="str">
        <f aca="false">IF(Discipline1&lt;&gt;"",HLOOKUP(Discipline1,knackfordic,BY637)," ")</f>
        <v>Flying Kick</v>
      </c>
      <c r="AY640" s="329" t="n">
        <f aca="false">MATCH(AX640,Talents!G$3:G$210)</f>
        <v>81</v>
      </c>
      <c r="AZ640" s="329" t="str">
        <f aca="true">IF(AY640,OFFSET(Talents!H$2,Build!AY640,0)," ")</f>
        <v>Great Leap</v>
      </c>
      <c r="BA640" s="112" t="n">
        <f aca="true">IF(AY640,OFFSET(Talents!J$2,Build!AY640,0)," ")</f>
        <v>2</v>
      </c>
      <c r="BB640" s="112" t="n">
        <f aca="true">IF(AY640,OFFSET(Talents!I$2,Build!AY640,0)," ")</f>
        <v>5</v>
      </c>
      <c r="BC640" s="112" t="n">
        <f aca="true">IF(AY640,OFFSET(Talents!K$2,Build!AY640,0)," ")</f>
        <v>2100</v>
      </c>
      <c r="BD640" s="112" t="n">
        <f aca="true">IF(AX$663=" ",OFFSET(E$615,MATCH(AZ640,D$616:D$656,0),0),IF(ISERROR(MATCH(AZ640,D$657:D$697,0)),OFFSET(E$615,MATCH(AZ640,D$616:D$656,0),0),IF(OFFSET(E$615,MATCH(AZ640,D$616:D$656,0),0)&gt;OFFSET(E$656,MATCH(AZ640,D$657:D$697,0),0),OFFSET(E$615,MATCH(AZ640,D$616:D$656,0),0),OFFSET(E$656,MATCH(AZ640,D$657:D$697,0),0))))</f>
        <v>6</v>
      </c>
      <c r="BE640" s="112" t="n">
        <f aca="false">BE639+IF(ISERROR(BD640), 0, IF(BD640&gt;=BB640, 1, 0))</f>
        <v>14</v>
      </c>
      <c r="BF640" s="324" t="n">
        <f aca="false">IF($BY640&lt;=BF$615,MATCH(BY640,BE$617:BE$681,0))</f>
        <v>0</v>
      </c>
      <c r="BG640" s="112" t="n">
        <f aca="false">BG639+IF(AND(K61&lt;&gt;" ",N61&lt;&gt;""),1,0)</f>
        <v>2</v>
      </c>
      <c r="BH640" s="112" t="n">
        <f aca="false">IF($BY640&lt;=BH$615,MATCH(BY640,BG$617:BG$649,0))</f>
        <v>0</v>
      </c>
      <c r="BI640" s="324" t="n">
        <f aca="true">IF(BH640,OFFSET(Q$35,BH640,0),0)</f>
        <v>0</v>
      </c>
      <c r="BJ640" s="329" t="str">
        <f aca="false">IF(P203&lt;&gt;"",M203," ")</f>
        <v> </v>
      </c>
      <c r="BK640" s="112" t="n">
        <f aca="false">IF(P203="",0,Q203)</f>
        <v>0</v>
      </c>
      <c r="BL640" s="112" t="n">
        <f aca="false">BL639+IF(BJ640&lt;&gt;" ",BK640,0)</f>
        <v>2</v>
      </c>
      <c r="BM640" s="112" t="n">
        <f aca="false">R203</f>
        <v>0</v>
      </c>
      <c r="BN640" s="112" t="n">
        <f aca="false">BN639+IF(BJ640&lt;&gt;" ",BM640,0)</f>
        <v>0</v>
      </c>
      <c r="BO640" s="329" t="str">
        <f aca="false">BO641&amp;IF(BJ640&lt;&gt;" ",", "&amp;BJ640&amp;" ("&amp;BK640&amp;")","")</f>
        <v>, Karma (3), Horror Fend (3)</v>
      </c>
      <c r="BP640" s="327" t="n">
        <f aca="false">BP639+IF(BJ640&lt;&gt;" ",1,0)</f>
        <v>1</v>
      </c>
      <c r="BQ640" s="332"/>
      <c r="BY640" s="333" t="n">
        <f aca="false">BY639+1</f>
        <v>24</v>
      </c>
      <c r="BZ640" s="329" t="str">
        <f aca="false">H242</f>
        <v>Cloak, Theran</v>
      </c>
      <c r="CA640" s="112" t="n">
        <f aca="false">K242</f>
        <v>0</v>
      </c>
      <c r="CB640" s="112" t="n">
        <f aca="false">L242</f>
        <v>380</v>
      </c>
      <c r="CC640" s="112" t="s">
        <v>301</v>
      </c>
      <c r="CD640" s="329" t="n">
        <f aca="false">FIND(",",BZ640)</f>
        <v>6</v>
      </c>
      <c r="CE640" s="329" t="str">
        <f aca="false">IF(ISERROR(CD640),BZ640,MID(BZ640,CD640+2,20)&amp;" "&amp;LEFT(BZ640,CD640-1))&amp;IF(ISERROR(VALUE(CA640)),"",IF(CA640&gt;1," ("&amp;CA640&amp;")",""))</f>
        <v>Theran Cloak</v>
      </c>
      <c r="CF640" s="329" t="str">
        <f aca="false">IF(CC640=" "," ",IF(ISERROR(VALUE(CA640)),CC640,CA640*CC640))</f>
        <v> </v>
      </c>
      <c r="CG640" s="112" t="n">
        <f aca="false">CG639+IF(AND(BZ640&lt;&gt;0,CA640&lt;&gt;0),1,0)</f>
        <v>3</v>
      </c>
      <c r="CH640" s="112" t="n">
        <f aca="false">IF($BY640&lt;=CH$615,MATCH($BY640,CG$617:CG$863,0))</f>
        <v>153</v>
      </c>
    </row>
    <row r="641" s="32" customFormat="true" ht="12.8" hidden="false" customHeight="false" outlineLevel="0" collapsed="false">
      <c r="B641" s="279" t="n">
        <v>9</v>
      </c>
      <c r="C641" s="67" t="n">
        <f aca="false">AQ42</f>
        <v>0</v>
      </c>
      <c r="D641" s="67" t="n">
        <f aca="false">IF(RIGHT(C641, 3)="(D)",LEFT(C641,LEN(C641)-4),C641)</f>
        <v>0</v>
      </c>
      <c r="E641" s="64" t="n">
        <f aca="false">F42</f>
        <v>0</v>
      </c>
      <c r="F641" s="182" t="n">
        <f aca="true">OFFSET(Cost_9_12,E641,0)</f>
        <v>0</v>
      </c>
      <c r="G641" s="64" t="e">
        <f aca="false">IF(C641&lt;&gt;" ",MATCH(D641,Talents!B$3:B$345,1),0)</f>
        <v>#N/A</v>
      </c>
      <c r="H641" s="64" t="e">
        <f aca="true">IF(G641=0," ",OFFSET(Talents!C$2,G641,0))</f>
        <v>#N/A</v>
      </c>
      <c r="I641" s="64" t="n">
        <f aca="false">IF(E641&gt;0,G42,0)</f>
        <v>0</v>
      </c>
      <c r="J641" s="64" t="e">
        <f aca="false">IF(H641&lt;&gt;" ",E641+VLOOKUP(H641,G$597:L$603,6,0)+I641," ")</f>
        <v>#N/A</v>
      </c>
      <c r="K641" s="64" t="e">
        <f aca="true">IF(J641&lt;&gt;" ",OFFSET(ActionDice,J641,0),"-")</f>
        <v>#N/A</v>
      </c>
      <c r="L641" s="67" t="n">
        <f aca="false">OR(RIGHT(C641, 3)="(D)", NOT(ISERROR(MATCH(D641&amp;" (D)", C$657:C$697, 0))))</f>
        <v>0</v>
      </c>
      <c r="M641" s="64" t="e">
        <f aca="true">IF(G641&gt;0,IF(L641,"D",OFFSET(Talents!D$2,G641,0))&amp;OFFSET(Talents!E$2,G641,0)," ")</f>
        <v>#N/A</v>
      </c>
      <c r="N641" s="64" t="n">
        <f aca="false">AND(I42="",C641&lt;&gt;" ")</f>
        <v>0</v>
      </c>
      <c r="O641" s="300" t="n">
        <f aca="false">O640+IF(N640,1,0)</f>
        <v>18</v>
      </c>
      <c r="P641" s="324" t="n">
        <f aca="false">IF(Build!$BY641&lt;=Build!P$615,MATCH(Build!$BY641,Build!O$617:O$714,0))</f>
        <v>0</v>
      </c>
      <c r="Q641" s="112" t="n">
        <f aca="false">Q640+IF(E214&lt;&gt;"",1,0)</f>
        <v>0</v>
      </c>
      <c r="R641" s="324"/>
      <c r="S641" s="112" t="n">
        <f aca="false">S640+IF(E139&lt;&gt;"",1,0)</f>
        <v>1</v>
      </c>
      <c r="T641" s="112"/>
      <c r="U641" s="300" t="n">
        <f aca="false">U640+IF(B417&lt;&gt;"",1,0)</f>
        <v>0</v>
      </c>
      <c r="V641" s="112" t="n">
        <f aca="false">V640+IF(B449&lt;&gt;"",1,0)</f>
        <v>0</v>
      </c>
      <c r="W641" s="112" t="n">
        <f aca="false">W640+IF(B481&lt;&gt;"",1,0)</f>
        <v>0</v>
      </c>
      <c r="X641" s="112" t="n">
        <f aca="false">X640+IF(B513&lt;&gt;"",1,0)</f>
        <v>0</v>
      </c>
      <c r="Y641" s="112" t="n">
        <f aca="false">Y640+IF(B545&lt;&gt;"",1,0)</f>
        <v>0</v>
      </c>
      <c r="Z641" s="324" t="n">
        <f aca="false">IF(B577&lt;&gt;"",1,0)</f>
        <v>0</v>
      </c>
      <c r="AA641" s="300" t="n">
        <f aca="false">IF($BY641&lt;=U$615,MATCH($BY641,U$617:U$737,0))</f>
        <v>0</v>
      </c>
      <c r="AB641" s="112" t="n">
        <f aca="false">IF($BY641&lt;=V$615,MATCH($BY641,V$617:V$737,0))</f>
        <v>0</v>
      </c>
      <c r="AC641" s="112" t="n">
        <f aca="false">IF($BY641&lt;=W$615,MATCH($BY641,W$617:W$737,0))</f>
        <v>0</v>
      </c>
      <c r="AD641" s="112" t="n">
        <f aca="false">IF($BY641&lt;=X$615,MATCH($BY641,X$617:X$737,0))</f>
        <v>0</v>
      </c>
      <c r="AE641" s="112" t="n">
        <f aca="false">IF($BY641&lt;=Y$615,MATCH($BY641,Y$617:Y$737,0))</f>
        <v>0</v>
      </c>
      <c r="AF641" s="324" t="n">
        <f aca="false">IF($BY641&lt;=Z$615,MATCH($BY641,Z$617:Z$737,0))</f>
        <v>0</v>
      </c>
      <c r="AG641" s="325" t="str">
        <f aca="true">IF(AND(AA641&lt;="",AP32=""),OFFSET(Spells!H$2,AA641,0),"")</f>
        <v>Effect</v>
      </c>
      <c r="AH641" s="325" t="str">
        <f aca="true">IF(AND(AB641&lt;="",AP32=""),OFFSET(Spells!R$2,AB641,0),"")</f>
        <v>Effect</v>
      </c>
      <c r="AI641" s="325" t="str">
        <f aca="true">IF(AND(AC641&lt;="",AP32=""),OFFSET(Spells!AB$2,AC641,0),"")</f>
        <v>Effect</v>
      </c>
      <c r="AJ641" s="326" t="str">
        <f aca="true">IF(AND(AD641&lt;="",AP32=""),OFFSET(Spells!AL$2,AD641,0),"")</f>
        <v>Effect</v>
      </c>
      <c r="AK641" s="326" t="str">
        <f aca="true">IF(AND(AE641&lt;="",AP32=""),OFFSET(Spells!AV$2,AE641,0),"")</f>
        <v>Effect</v>
      </c>
      <c r="AL641" s="325" t="str">
        <f aca="true">IF(AND(AF641&lt;="",AP32=""),OFFSET(Spells!$H$2,AF641,0),"")</f>
        <v>Effect</v>
      </c>
      <c r="AM641" s="327" t="str">
        <f aca="false">IF(L76&lt;&gt;"",L76," ")</f>
        <v> </v>
      </c>
      <c r="AN641" s="112" t="n">
        <f aca="false">IF(AM641&gt;0, O76, 0)</f>
        <v>0</v>
      </c>
      <c r="AO641" s="112" t="n">
        <f aca="false">IF(AN641&gt;0,Q76,0)</f>
        <v>0</v>
      </c>
      <c r="AP641" s="112" t="n">
        <f aca="false">AP640+IF(AND(AM641&lt;&gt;" ",AN641&gt;0),1,0)</f>
        <v>5</v>
      </c>
      <c r="AQ641" s="324"/>
      <c r="AR641" s="327" t="str">
        <f aca="false">B107&amp;IF(H107&lt;&gt;""," ("&amp;H107&amp;")","")</f>
        <v>Rune Carving</v>
      </c>
      <c r="AS641" s="112" t="n">
        <f aca="false">F107</f>
        <v>0</v>
      </c>
      <c r="AT641" s="112" t="n">
        <f aca="true">OFFSET(CostSkill,AS641,0)-OFFSET(CostSkill,E107,0)</f>
        <v>0</v>
      </c>
      <c r="AU641" s="112" t="str">
        <f aca="false">G107</f>
        <v>C</v>
      </c>
      <c r="AV641" s="112" t="n">
        <f aca="false">AV640+IF(AND(AR641&lt;&gt;" ",AS641&gt;0),1,0)</f>
        <v>6</v>
      </c>
      <c r="AW641" s="324" t="n">
        <f aca="false">IF($BY641&lt;=AW$615,MATCH(BY641,AV$617:AV$763,0))</f>
        <v>0</v>
      </c>
      <c r="AX641" s="327" t="str">
        <f aca="false">IF(Discipline1&lt;&gt;"",HLOOKUP(Discipline1,knackfordic,BY638)," ")</f>
        <v>Ghost Master Ritual</v>
      </c>
      <c r="AY641" s="329" t="n">
        <f aca="false">MATCH(AX641,Talents!G$3:G$210)</f>
        <v>86</v>
      </c>
      <c r="AZ641" s="329" t="str">
        <f aca="true">IF(AY641,OFFSET(Talents!H$2,Build!AY641,0)," ")</f>
        <v>Spell Casting</v>
      </c>
      <c r="BA641" s="112" t="n">
        <f aca="true">IF(AY641,OFFSET(Talents!J$2,Build!AY641,0)," ")</f>
        <v>2</v>
      </c>
      <c r="BB641" s="112" t="n">
        <f aca="true">IF(AY641,OFFSET(Talents!I$2,Build!AY641,0)," ")</f>
        <v>7</v>
      </c>
      <c r="BC641" s="112" t="n">
        <f aca="true">IF(AY641,OFFSET(Talents!K$2,Build!AY641,0)," ")</f>
        <v>5500</v>
      </c>
      <c r="BD641" s="112" t="e">
        <f aca="true">IF(AX$663=" ",OFFSET(E$615,MATCH(AZ641,D$616:D$656,0),0),IF(ISERROR(MATCH(AZ641,D$657:D$697,0)),OFFSET(E$615,MATCH(AZ641,D$616:D$656,0),0),IF(OFFSET(E$615,MATCH(AZ641,D$616:D$656,0),0)&gt;OFFSET(E$656,MATCH(AZ641,D$657:D$697,0),0),OFFSET(E$615,MATCH(AZ641,D$616:D$656,0),0),OFFSET(E$656,MATCH(AZ641,D$657:D$697,0),0))))</f>
        <v>#N/A</v>
      </c>
      <c r="BE641" s="112" t="n">
        <f aca="false">BE640+IF(ISERROR(BD641), 0, IF(BD641&gt;=BB641, 1, 0))</f>
        <v>14</v>
      </c>
      <c r="BF641" s="324" t="n">
        <f aca="false">IF($BY641&lt;=BF$615,MATCH(BY641,BE$617:BE$681,0))</f>
        <v>0</v>
      </c>
      <c r="BG641" s="112" t="n">
        <f aca="false">BG640+IF(AND(K62&lt;&gt;" ",N62&lt;&gt;""),1,0)</f>
        <v>2</v>
      </c>
      <c r="BH641" s="175" t="n">
        <f aca="false">IF($BY641&lt;=BH$615,MATCH(BY641,BG$617:BG$649,0))</f>
        <v>0</v>
      </c>
      <c r="BI641" s="324" t="n">
        <f aca="true">IF(BH641,OFFSET(Q$35,BH641,0),0)</f>
        <v>0</v>
      </c>
      <c r="BJ641" s="329" t="str">
        <f aca="false">IF(P204&lt;&gt;"",M204," ")</f>
        <v> </v>
      </c>
      <c r="BK641" s="112" t="n">
        <f aca="false">IF(P204="",0,Q204)</f>
        <v>0</v>
      </c>
      <c r="BL641" s="112" t="n">
        <f aca="false">BL640+IF(BJ641&lt;&gt;" ",BK641,0)</f>
        <v>2</v>
      </c>
      <c r="BM641" s="112" t="n">
        <f aca="false">R204</f>
        <v>2</v>
      </c>
      <c r="BN641" s="112" t="n">
        <f aca="false">BN640+IF(BJ641&lt;&gt;" ",BM641,0)</f>
        <v>0</v>
      </c>
      <c r="BO641" s="329" t="str">
        <f aca="false">BO642&amp;IF(BJ641&lt;&gt;" ",", "&amp;BJ641&amp;" ("&amp;BK641&amp;")","")</f>
        <v>, Karma (3), Horror Fend (3)</v>
      </c>
      <c r="BP641" s="327" t="n">
        <f aca="false">BP640+IF(BJ641&lt;&gt;" ",1,0)</f>
        <v>1</v>
      </c>
      <c r="BQ641" s="332"/>
      <c r="BY641" s="333" t="n">
        <f aca="false">BY640+1</f>
        <v>25</v>
      </c>
      <c r="BZ641" s="329" t="str">
        <f aca="false">H243</f>
        <v>Dress, Plain</v>
      </c>
      <c r="CA641" s="112" t="n">
        <f aca="false">K243</f>
        <v>0</v>
      </c>
      <c r="CB641" s="112" t="n">
        <f aca="false">L243</f>
        <v>2</v>
      </c>
      <c r="CC641" s="112" t="s">
        <v>301</v>
      </c>
      <c r="CD641" s="329" t="n">
        <f aca="false">FIND(",",BZ641)</f>
        <v>6</v>
      </c>
      <c r="CE641" s="329" t="str">
        <f aca="false">IF(ISERROR(CD641),BZ641,MID(BZ641,CD641+2,20)&amp;" "&amp;LEFT(BZ641,CD641-1))&amp;IF(ISERROR(VALUE(CA641)),"",IF(CA641&gt;1," ("&amp;CA641&amp;")",""))</f>
        <v>Plain Dress</v>
      </c>
      <c r="CF641" s="329" t="str">
        <f aca="false">IF(CC641=" "," ",IF(ISERROR(VALUE(CA641)),CC641,CA641*CC641))</f>
        <v> </v>
      </c>
      <c r="CG641" s="112" t="n">
        <f aca="false">CG640+IF(AND(BZ641&lt;&gt;0,CA641&lt;&gt;0),1,0)</f>
        <v>3</v>
      </c>
      <c r="CH641" s="112" t="n">
        <f aca="false">IF($BY641&lt;=CH$615,MATCH($BY641,CG$617:CG$863,0))</f>
        <v>181</v>
      </c>
    </row>
    <row r="642" s="32" customFormat="true" ht="12.8" hidden="false" customHeight="false" outlineLevel="0" collapsed="false">
      <c r="B642" s="279" t="n">
        <v>9</v>
      </c>
      <c r="C642" s="67" t="n">
        <f aca="false">AQ43</f>
        <v>0</v>
      </c>
      <c r="D642" s="67" t="n">
        <f aca="false">IF(RIGHT(C642, 3)="(D)",LEFT(C642,LEN(C642)-4),C642)</f>
        <v>0</v>
      </c>
      <c r="E642" s="64" t="n">
        <f aca="false">F43</f>
        <v>0</v>
      </c>
      <c r="F642" s="182" t="n">
        <f aca="true">OFFSET(Cost_9_12,E642,0)</f>
        <v>0</v>
      </c>
      <c r="G642" s="64" t="e">
        <f aca="false">IF(C642&lt;&gt;" ",MATCH(D642,Talents!B$3:B$345,1),0)</f>
        <v>#N/A</v>
      </c>
      <c r="H642" s="64" t="e">
        <f aca="true">IF(G642=0," ",OFFSET(Talents!C$2,G642,0))</f>
        <v>#N/A</v>
      </c>
      <c r="I642" s="64" t="n">
        <f aca="false">IF(E642&gt;0,G43,0)</f>
        <v>0</v>
      </c>
      <c r="J642" s="64" t="e">
        <f aca="false">IF(H642&lt;&gt;" ",E642+VLOOKUP(H642,G$597:L$603,6,0)+I642," ")</f>
        <v>#N/A</v>
      </c>
      <c r="K642" s="64" t="e">
        <f aca="true">IF(J642&lt;&gt;" ",OFFSET(ActionDice,J642,0),"-")</f>
        <v>#N/A</v>
      </c>
      <c r="L642" s="67" t="n">
        <f aca="false">OR(RIGHT(C642, 3)="(D)", NOT(ISERROR(MATCH(D642&amp;" (D)", C$657:C$697, 0))))</f>
        <v>0</v>
      </c>
      <c r="M642" s="64" t="e">
        <f aca="true">IF(G642&gt;0,IF(L642,"D",OFFSET(Talents!D$2,G642,0))&amp;OFFSET(Talents!E$2,G642,0)," ")</f>
        <v>#N/A</v>
      </c>
      <c r="N642" s="64" t="n">
        <f aca="false">AND(I43="",C642&lt;&gt;" ")</f>
        <v>0</v>
      </c>
      <c r="O642" s="300" t="n">
        <f aca="false">O641+IF(N641,1,0)</f>
        <v>18</v>
      </c>
      <c r="P642" s="324" t="n">
        <f aca="false">IF(Build!$BY642&lt;=Build!P$615,MATCH(Build!$BY642,Build!O$617:O$714,0))</f>
        <v>0</v>
      </c>
      <c r="Q642" s="112" t="n">
        <f aca="false">Q641+IF(E215&lt;&gt;"",1,0)</f>
        <v>0</v>
      </c>
      <c r="R642" s="324"/>
      <c r="S642" s="112" t="n">
        <f aca="false">S641+IF(E140&lt;&gt;"",1,0)</f>
        <v>1</v>
      </c>
      <c r="T642" s="112"/>
      <c r="U642" s="300" t="n">
        <f aca="false">U641+IF(B418&lt;&gt;"",1,0)</f>
        <v>0</v>
      </c>
      <c r="V642" s="112" t="n">
        <f aca="false">V641+IF(B450&lt;&gt;"",1,0)</f>
        <v>0</v>
      </c>
      <c r="W642" s="112" t="n">
        <f aca="false">W641+IF(B482&lt;&gt;"",1,0)</f>
        <v>0</v>
      </c>
      <c r="X642" s="112" t="n">
        <f aca="false">X641+IF(B514&lt;&gt;"",1,0)</f>
        <v>0</v>
      </c>
      <c r="Y642" s="112" t="n">
        <f aca="false">Y641+IF(B546&lt;&gt;"",1,0)</f>
        <v>0</v>
      </c>
      <c r="Z642" s="324" t="n">
        <f aca="false">IF(B578&lt;&gt;"",1,0)</f>
        <v>0</v>
      </c>
      <c r="AA642" s="300" t="n">
        <f aca="false">IF($BY642&lt;=U$615,MATCH($BY642,U$617:U$737,0))</f>
        <v>0</v>
      </c>
      <c r="AB642" s="112" t="n">
        <f aca="false">IF($BY642&lt;=V$615,MATCH($BY642,V$617:V$737,0))</f>
        <v>0</v>
      </c>
      <c r="AC642" s="112" t="n">
        <f aca="false">IF($BY642&lt;=W$615,MATCH($BY642,W$617:W$737,0))</f>
        <v>0</v>
      </c>
      <c r="AD642" s="112" t="n">
        <f aca="false">IF($BY642&lt;=X$615,MATCH($BY642,X$617:X$737,0))</f>
        <v>0</v>
      </c>
      <c r="AE642" s="112" t="n">
        <f aca="false">IF($BY642&lt;=Y$615,MATCH($BY642,Y$617:Y$737,0))</f>
        <v>0</v>
      </c>
      <c r="AF642" s="324" t="n">
        <f aca="false">IF($BY642&lt;=Z$615,MATCH($BY642,Z$617:Z$737,0))</f>
        <v>0</v>
      </c>
      <c r="AG642" s="325" t="str">
        <f aca="true">IF(AND(AA642&lt;="",AP33=""),OFFSET(Spells!H$2,AA642,0),"")</f>
        <v>Effect</v>
      </c>
      <c r="AH642" s="325" t="str">
        <f aca="true">IF(AND(AB642&lt;="",AP33=""),OFFSET(Spells!R$2,AB642,0),"")</f>
        <v>Effect</v>
      </c>
      <c r="AI642" s="325" t="str">
        <f aca="true">IF(AND(AC642&lt;="",AP33=""),OFFSET(Spells!AB$2,AC642,0),"")</f>
        <v>Effect</v>
      </c>
      <c r="AJ642" s="326" t="str">
        <f aca="true">IF(AND(AD642&lt;="",AP33=""),OFFSET(Spells!AL$2,AD642,0),"")</f>
        <v>Effect</v>
      </c>
      <c r="AK642" s="326" t="str">
        <f aca="true">IF(AND(AE642&lt;="",AP33=""),OFFSET(Spells!AV$2,AE642,0),"")</f>
        <v>Effect</v>
      </c>
      <c r="AL642" s="325" t="str">
        <f aca="true">IF(AND(AF642&lt;="",AP33=""),OFFSET(Spells!$H$2,AF642,0),"")</f>
        <v>Effect</v>
      </c>
      <c r="AM642" s="327" t="str">
        <f aca="false">IF(L77&lt;&gt;"",L77," ")</f>
        <v> </v>
      </c>
      <c r="AN642" s="112" t="n">
        <f aca="false">IF(AM642&gt;0, O77, 0)</f>
        <v>0</v>
      </c>
      <c r="AO642" s="112" t="n">
        <f aca="false">IF(AN642&gt;0,Q77,0)</f>
        <v>0</v>
      </c>
      <c r="AP642" s="112" t="n">
        <f aca="false">AP641+IF(AND(AM642&lt;&gt;" ",AN642&gt;0),1,0)</f>
        <v>5</v>
      </c>
      <c r="AQ642" s="324"/>
      <c r="AR642" s="327" t="str">
        <f aca="false">B108&amp;IF(H108&lt;&gt;""," ("&amp;H108&amp;")","")</f>
        <v>Tattooing</v>
      </c>
      <c r="AS642" s="112" t="n">
        <f aca="false">F108</f>
        <v>0</v>
      </c>
      <c r="AT642" s="112" t="n">
        <f aca="true">OFFSET(CostSkill,AS642,0)-OFFSET(CostSkill,E108,0)</f>
        <v>0</v>
      </c>
      <c r="AU642" s="112" t="str">
        <f aca="false">G108</f>
        <v>C</v>
      </c>
      <c r="AV642" s="112" t="n">
        <f aca="false">AV641+IF(AND(AR642&lt;&gt;" ",AS642&gt;0),1,0)</f>
        <v>6</v>
      </c>
      <c r="AW642" s="324" t="n">
        <f aca="false">IF($BY642&lt;=AW$615,MATCH(BY642,AV$617:AV$763,0))</f>
        <v>0</v>
      </c>
      <c r="AX642" s="327" t="str">
        <f aca="false">IF(Discipline1&lt;&gt;"",HLOOKUP(Discipline1,knackfordic,BY639)," ")</f>
        <v>Horror Analysis</v>
      </c>
      <c r="AY642" s="329" t="n">
        <f aca="false">MATCH(AX642,Talents!G$3:G$210)</f>
        <v>102</v>
      </c>
      <c r="AZ642" s="329" t="str">
        <f aca="true">IF(AY642,OFFSET(Talents!H$2,Build!AY642,0)," ")</f>
        <v>Creature Analysis</v>
      </c>
      <c r="BA642" s="112" t="n">
        <f aca="true">IF(AY642,OFFSET(Talents!J$2,Build!AY642,0)," ")</f>
        <v>1</v>
      </c>
      <c r="BB642" s="112" t="n">
        <f aca="true">IF(AY642,OFFSET(Talents!I$2,Build!AY642,0)," ")</f>
        <v>7</v>
      </c>
      <c r="BC642" s="112" t="n">
        <f aca="true">IF(AY642,OFFSET(Talents!K$2,Build!AY642,0)," ")</f>
        <v>5500</v>
      </c>
      <c r="BD642" s="112" t="e">
        <f aca="true">IF(AX$663=" ",OFFSET(E$615,MATCH(AZ642,D$616:D$656,0),0),IF(ISERROR(MATCH(AZ642,D$657:D$697,0)),OFFSET(E$615,MATCH(AZ642,D$616:D$656,0),0),IF(OFFSET(E$615,MATCH(AZ642,D$616:D$656,0),0)&gt;OFFSET(E$656,MATCH(AZ642,D$657:D$697,0),0),OFFSET(E$615,MATCH(AZ642,D$616:D$656,0),0),OFFSET(E$656,MATCH(AZ642,D$657:D$697,0),0))))</f>
        <v>#N/A</v>
      </c>
      <c r="BE642" s="112" t="n">
        <f aca="false">BE641+IF(ISERROR(BD642), 0, IF(BD642&gt;=BB642, 1, 0))</f>
        <v>14</v>
      </c>
      <c r="BF642" s="324" t="n">
        <f aca="false">IF($BY642&lt;=BF$615,MATCH(BY642,BE$617:BE$681,0))</f>
        <v>0</v>
      </c>
      <c r="BG642" s="42"/>
      <c r="BH642" s="42"/>
      <c r="BJ642" s="327" t="str">
        <f aca="false">IF(P205&lt;&gt;"",M205," ")</f>
        <v> </v>
      </c>
      <c r="BK642" s="112" t="n">
        <f aca="false">IF(P205="",0,Q205)</f>
        <v>0</v>
      </c>
      <c r="BL642" s="112" t="n">
        <f aca="false">BL641+IF(BJ642&lt;&gt;" ",BK642,0)</f>
        <v>2</v>
      </c>
      <c r="BM642" s="112" t="n">
        <f aca="false">R205</f>
        <v>0.5</v>
      </c>
      <c r="BN642" s="112" t="n">
        <f aca="false">BN641+IF(BJ642&lt;&gt;" ",BM642,0)</f>
        <v>0</v>
      </c>
      <c r="BO642" s="329" t="str">
        <f aca="false">BO643&amp;IF(BJ642&lt;&gt;" ",", "&amp;BJ642&amp;" ("&amp;BK642&amp;")","")</f>
        <v>, Karma (3), Horror Fend (3)</v>
      </c>
      <c r="BP642" s="327" t="n">
        <f aca="false">BP641+IF(BJ642&lt;&gt;" ",1,0)</f>
        <v>1</v>
      </c>
      <c r="BQ642" s="332"/>
      <c r="BY642" s="333" t="n">
        <f aca="false">BY641+1</f>
        <v>26</v>
      </c>
      <c r="BZ642" s="329" t="str">
        <f aca="false">H244</f>
        <v>Dress, Patterned</v>
      </c>
      <c r="CA642" s="112" t="n">
        <f aca="false">K244</f>
        <v>0</v>
      </c>
      <c r="CB642" s="112" t="n">
        <f aca="false">L244</f>
        <v>7</v>
      </c>
      <c r="CC642" s="112" t="s">
        <v>301</v>
      </c>
      <c r="CD642" s="329" t="n">
        <f aca="false">FIND(",",BZ642)</f>
        <v>6</v>
      </c>
      <c r="CE642" s="329" t="str">
        <f aca="false">IF(ISERROR(CD642),BZ642,MID(BZ642,CD642+2,20)&amp;" "&amp;LEFT(BZ642,CD642-1))&amp;IF(ISERROR(VALUE(CA642)),"",IF(CA642&gt;1," ("&amp;CA642&amp;")",""))</f>
        <v>Patterned Dress</v>
      </c>
      <c r="CF642" s="329" t="str">
        <f aca="false">IF(CC642=" "," ",IF(ISERROR(VALUE(CA642)),CC642,CA642*CC642))</f>
        <v> </v>
      </c>
      <c r="CG642" s="112" t="n">
        <f aca="false">CG641+IF(AND(BZ642&lt;&gt;0,CA642&lt;&gt;0),1,0)</f>
        <v>3</v>
      </c>
      <c r="CH642" s="112" t="n">
        <f aca="false">IF($BY642&lt;=CH$615,MATCH($BY642,CG$617:CG$863,0))</f>
        <v>0</v>
      </c>
    </row>
    <row r="643" s="32" customFormat="true" ht="12.8" hidden="false" customHeight="false" outlineLevel="0" collapsed="false">
      <c r="B643" s="279" t="n">
        <v>10</v>
      </c>
      <c r="C643" s="67" t="str">
        <f aca="false">IF(Circle1&gt;=$B643,HLOOKUP(Discipline1,talentfordisc,1+BY644,0)," ")</f>
        <v> </v>
      </c>
      <c r="D643" s="67" t="str">
        <f aca="false">IF(RIGHT(C643, 3)="(D)",LEFT(C643,LEN(C643)-4),C643)</f>
        <v> </v>
      </c>
      <c r="E643" s="64" t="n">
        <f aca="false">F44</f>
        <v>0</v>
      </c>
      <c r="F643" s="182" t="n">
        <f aca="true">OFFSET(Cost_9_12,E643,0)</f>
        <v>0</v>
      </c>
      <c r="G643" s="64" t="n">
        <f aca="false">IF(C643&lt;&gt;" ",MATCH(D643,Talents!B$3:B$345,1),0)</f>
        <v>0</v>
      </c>
      <c r="H643" s="64" t="str">
        <f aca="true">IF(G643=0," ",OFFSET(Talents!C$2,G643,0))</f>
        <v> </v>
      </c>
      <c r="I643" s="64" t="n">
        <f aca="false">IF(E643&gt;0,G44,0)</f>
        <v>0</v>
      </c>
      <c r="J643" s="64" t="str">
        <f aca="false">IF(H643&lt;&gt;" ",E643+VLOOKUP(H643,G$597:L$603,6,0)+I643," ")</f>
        <v> </v>
      </c>
      <c r="K643" s="64" t="str">
        <f aca="true">IF(J643&lt;&gt;" ",OFFSET(ActionDice,J643,0),"-")</f>
        <v>-</v>
      </c>
      <c r="L643" s="67" t="n">
        <f aca="false">OR(RIGHT(C643, 3)="(D)", NOT(ISERROR(MATCH(D643&amp;" (D)", C$657:C$697, 0))))</f>
        <v>0</v>
      </c>
      <c r="M643" s="64" t="str">
        <f aca="true">IF(G643&gt;0,IF(L643,"D",OFFSET(Talents!D$2,G643,0))&amp;OFFSET(Talents!E$2,G643,0)," ")</f>
        <v> </v>
      </c>
      <c r="N643" s="64" t="n">
        <f aca="false">AND(I44="",C643&lt;&gt;" ")</f>
        <v>0</v>
      </c>
      <c r="O643" s="300" t="n">
        <f aca="false">O642+IF(N642,1,0)</f>
        <v>18</v>
      </c>
      <c r="P643" s="324" t="n">
        <f aca="false">IF(Build!$BY643&lt;=Build!P$615,MATCH(Build!$BY643,Build!O$617:O$714,0))</f>
        <v>0</v>
      </c>
      <c r="Q643" s="112" t="n">
        <f aca="false">Q642+IF(E216&lt;&gt;"",1,0)</f>
        <v>0</v>
      </c>
      <c r="R643" s="324"/>
      <c r="S643" s="112" t="n">
        <f aca="false">S642+IF(E141&lt;&gt;"",1,0)</f>
        <v>1</v>
      </c>
      <c r="T643" s="112"/>
      <c r="U643" s="300" t="n">
        <f aca="false">U642+IF(B419&lt;&gt;"",1,0)</f>
        <v>0</v>
      </c>
      <c r="V643" s="112" t="n">
        <f aca="false">V642+IF(B451&lt;&gt;"",1,0)</f>
        <v>0</v>
      </c>
      <c r="W643" s="112" t="n">
        <f aca="false">W642+IF(B483&lt;&gt;"",1,0)</f>
        <v>0</v>
      </c>
      <c r="X643" s="112" t="n">
        <f aca="false">X642+IF(B515&lt;&gt;"",1,0)</f>
        <v>0</v>
      </c>
      <c r="Y643" s="112" t="n">
        <f aca="false">Y642+IF(B547&lt;&gt;"",1,0)</f>
        <v>0</v>
      </c>
      <c r="Z643" s="324" t="n">
        <f aca="false">IF(B579&lt;&gt;"",1,0)</f>
        <v>0</v>
      </c>
      <c r="AA643" s="300" t="n">
        <f aca="false">IF($BY643&lt;=U$615,MATCH($BY643,U$617:U$737,0))</f>
        <v>0</v>
      </c>
      <c r="AB643" s="112" t="n">
        <f aca="false">IF($BY643&lt;=V$615,MATCH($BY643,V$617:V$737,0))</f>
        <v>0</v>
      </c>
      <c r="AC643" s="112" t="n">
        <f aca="false">IF($BY643&lt;=W$615,MATCH($BY643,W$617:W$737,0))</f>
        <v>0</v>
      </c>
      <c r="AD643" s="112" t="n">
        <f aca="false">IF($BY643&lt;=X$615,MATCH($BY643,X$617:X$737,0))</f>
        <v>0</v>
      </c>
      <c r="AE643" s="112" t="n">
        <f aca="false">IF($BY643&lt;=Y$615,MATCH($BY643,Y$617:Y$737,0))</f>
        <v>0</v>
      </c>
      <c r="AF643" s="324" t="n">
        <f aca="false">IF($BY643&lt;=Z$615,MATCH($BY643,Z$617:Z$737,0))</f>
        <v>0</v>
      </c>
      <c r="AG643" s="325" t="str">
        <f aca="true">IF(AND(AA643&lt;="",AP34=""),OFFSET(Spells!H$2,AA643,0),"")</f>
        <v>Effect</v>
      </c>
      <c r="AH643" s="325" t="str">
        <f aca="true">IF(AND(AB643&lt;="",AP34=""),OFFSET(Spells!R$2,AB643,0),"")</f>
        <v>Effect</v>
      </c>
      <c r="AI643" s="325" t="str">
        <f aca="true">IF(AND(AC643&lt;="",AP34=""),OFFSET(Spells!AB$2,AC643,0),"")</f>
        <v>Effect</v>
      </c>
      <c r="AJ643" s="326" t="str">
        <f aca="true">IF(AND(AD643&lt;="",AP34=""),OFFSET(Spells!AL$2,AD643,0),"")</f>
        <v>Effect</v>
      </c>
      <c r="AK643" s="326" t="str">
        <f aca="true">IF(AND(AE643&lt;="",AP34=""),OFFSET(Spells!AV$2,AE643,0),"")</f>
        <v>Effect</v>
      </c>
      <c r="AL643" s="325" t="str">
        <f aca="true">IF(AND(AF643&lt;="",AP34=""),OFFSET(Spells!$H$2,AF643,0),"")</f>
        <v>Effect</v>
      </c>
      <c r="AM643" s="327" t="str">
        <f aca="false">IF(L78&lt;&gt;"",L78," ")</f>
        <v> </v>
      </c>
      <c r="AN643" s="112" t="n">
        <f aca="false">IF(AM643&gt;0, O78, 0)</f>
        <v>0</v>
      </c>
      <c r="AO643" s="112" t="n">
        <f aca="false">IF(AN643&gt;0,Q78,0)</f>
        <v>0</v>
      </c>
      <c r="AP643" s="112" t="n">
        <f aca="false">AP642+IF(AND(AM643&lt;&gt;" ",AN643&gt;0),1,0)</f>
        <v>5</v>
      </c>
      <c r="AQ643" s="324"/>
      <c r="AR643" s="327" t="str">
        <f aca="false">B109&amp;IF(H109&lt;&gt;""," ("&amp;H109&amp;")","")</f>
        <v/>
      </c>
      <c r="AS643" s="112" t="n">
        <f aca="false">F109</f>
        <v>0</v>
      </c>
      <c r="AT643" s="112" t="n">
        <f aca="true">OFFSET(CostSkill,AS643,0)-OFFSET(CostSkill,E109,0)</f>
        <v>0</v>
      </c>
      <c r="AU643" s="112" t="n">
        <f aca="false">G109</f>
        <v>0</v>
      </c>
      <c r="AV643" s="112" t="n">
        <f aca="false">AV642+IF(AND(AR643&lt;&gt;" ",AS643&gt;0),1,0)</f>
        <v>6</v>
      </c>
      <c r="AW643" s="324" t="n">
        <f aca="false">IF($BY643&lt;=AW$615,MATCH(BY643,AV$617:AV$763,0))</f>
        <v>0</v>
      </c>
      <c r="AX643" s="327" t="str">
        <f aca="false">IF(Discipline1&lt;&gt;"",HLOOKUP(Discipline1,knackfordic,BY640)," ")</f>
        <v>Identify Tracks</v>
      </c>
      <c r="AY643" s="329" t="n">
        <f aca="false">MATCH(AX643,Talents!G$3:G$210)</f>
        <v>103</v>
      </c>
      <c r="AZ643" s="329" t="str">
        <f aca="true">IF(AY643,OFFSET(Talents!H$2,Build!AY643,0)," ")</f>
        <v>Tracking</v>
      </c>
      <c r="BA643" s="112" t="n">
        <f aca="true">IF(AY643,OFFSET(Talents!J$2,Build!AY643,0)," ")</f>
        <v>2</v>
      </c>
      <c r="BB643" s="112" t="n">
        <f aca="true">IF(AY643,OFFSET(Talents!I$2,Build!AY643,0)," ")</f>
        <v>5</v>
      </c>
      <c r="BC643" s="112" t="n">
        <f aca="true">IF(AY643,OFFSET(Talents!K$2,Build!AY643,0)," ")</f>
        <v>2100</v>
      </c>
      <c r="BD643" s="112" t="n">
        <f aca="true">IF(AX$663=" ",OFFSET(E$615,MATCH(AZ643,D$616:D$656,0),0),IF(ISERROR(MATCH(AZ643,D$657:D$697,0)),OFFSET(E$615,MATCH(AZ643,D$616:D$656,0),0),IF(OFFSET(E$615,MATCH(AZ643,D$616:D$656,0),0)&gt;OFFSET(E$656,MATCH(AZ643,D$657:D$697,0),0),OFFSET(E$615,MATCH(AZ643,D$616:D$656,0),0),OFFSET(E$656,MATCH(AZ643,D$657:D$697,0),0))))</f>
        <v>8</v>
      </c>
      <c r="BE643" s="112" t="n">
        <f aca="false">BE642+IF(ISERROR(BD643), 0, IF(BD643&gt;=BB643, 1, 0))</f>
        <v>15</v>
      </c>
      <c r="BF643" s="324" t="n">
        <f aca="false">IF($BY643&lt;=BF$615,MATCH(BY643,BE$617:BE$681,0))</f>
        <v>0</v>
      </c>
      <c r="BG643" s="42"/>
      <c r="BH643" s="42"/>
      <c r="BJ643" s="327" t="str">
        <f aca="false">IF(P206&lt;&gt;"",M206," ")</f>
        <v> </v>
      </c>
      <c r="BK643" s="112" t="n">
        <f aca="false">IF(P206="",0,Q206)</f>
        <v>0</v>
      </c>
      <c r="BL643" s="112" t="n">
        <f aca="false">BL642+IF(BJ643&lt;&gt;" ",BK643,0)</f>
        <v>2</v>
      </c>
      <c r="BM643" s="112" t="n">
        <f aca="false">R206</f>
        <v>0</v>
      </c>
      <c r="BN643" s="112" t="n">
        <f aca="false">BN642+IF(BJ643&lt;&gt;" ",BM643,0)</f>
        <v>0</v>
      </c>
      <c r="BO643" s="329" t="str">
        <f aca="false">BO644&amp;IF(BJ643&lt;&gt;" ",", "&amp;BJ643&amp;" ("&amp;BK643&amp;")","")</f>
        <v>, Karma (3), Horror Fend (3)</v>
      </c>
      <c r="BP643" s="327" t="n">
        <f aca="false">BP642+IF(BJ643&lt;&gt;" ",1,0)</f>
        <v>1</v>
      </c>
      <c r="BQ643" s="332"/>
      <c r="BY643" s="333" t="n">
        <f aca="false">BY642+1</f>
        <v>27</v>
      </c>
      <c r="BZ643" s="329" t="str">
        <f aca="false">H245</f>
        <v>Dress, Embroidered</v>
      </c>
      <c r="CA643" s="112" t="n">
        <f aca="false">K245</f>
        <v>0</v>
      </c>
      <c r="CB643" s="112" t="n">
        <f aca="false">L245</f>
        <v>22</v>
      </c>
      <c r="CC643" s="112" t="s">
        <v>301</v>
      </c>
      <c r="CD643" s="329" t="n">
        <f aca="false">FIND(",",BZ643)</f>
        <v>6</v>
      </c>
      <c r="CE643" s="329" t="str">
        <f aca="false">IF(ISERROR(CD643),BZ643,MID(BZ643,CD643+2,20)&amp;" "&amp;LEFT(BZ643,CD643-1))&amp;IF(ISERROR(VALUE(CA643)),"",IF(CA643&gt;1," ("&amp;CA643&amp;")",""))</f>
        <v>Embroidered Dress</v>
      </c>
      <c r="CF643" s="329" t="str">
        <f aca="false">IF(CC643=" "," ",IF(ISERROR(VALUE(CA643)),CC643,CA643*CC643))</f>
        <v> </v>
      </c>
      <c r="CG643" s="112" t="n">
        <f aca="false">CG642+IF(AND(BZ643&lt;&gt;0,CA643&lt;&gt;0),1,0)</f>
        <v>3</v>
      </c>
      <c r="CH643" s="112" t="n">
        <f aca="false">IF($BY643&lt;=CH$615,MATCH($BY643,CG$617:CG$863,0))</f>
        <v>0</v>
      </c>
    </row>
    <row r="644" s="32" customFormat="true" ht="12.8" hidden="false" customHeight="false" outlineLevel="0" collapsed="false">
      <c r="B644" s="279" t="n">
        <v>10</v>
      </c>
      <c r="C644" s="67" t="n">
        <f aca="false">AQ45</f>
        <v>0</v>
      </c>
      <c r="D644" s="67" t="n">
        <f aca="false">IF(RIGHT(C644, 3)="(D)",LEFT(C644,LEN(C644)-4),C644)</f>
        <v>0</v>
      </c>
      <c r="E644" s="64" t="n">
        <f aca="false">F45</f>
        <v>0</v>
      </c>
      <c r="F644" s="182" t="n">
        <f aca="true">OFFSET(Cost_9_12,E644,0)</f>
        <v>0</v>
      </c>
      <c r="G644" s="64" t="e">
        <f aca="false">IF(C644&lt;&gt;" ",MATCH(D644,Talents!B$3:B$345,1),0)</f>
        <v>#N/A</v>
      </c>
      <c r="H644" s="64" t="e">
        <f aca="true">IF(G644=0," ",OFFSET(Talents!C$2,G644,0))</f>
        <v>#N/A</v>
      </c>
      <c r="I644" s="64" t="n">
        <f aca="false">IF(E644&gt;0,G45,0)</f>
        <v>0</v>
      </c>
      <c r="J644" s="64" t="e">
        <f aca="false">IF(H644&lt;&gt;" ",E644+VLOOKUP(H644,G$597:L$603,6,0)+I644," ")</f>
        <v>#N/A</v>
      </c>
      <c r="K644" s="64" t="e">
        <f aca="true">IF(J644&lt;&gt;" ",OFFSET(ActionDice,J644,0),"-")</f>
        <v>#N/A</v>
      </c>
      <c r="L644" s="67" t="n">
        <f aca="false">OR(RIGHT(C644, 3)="(D)", NOT(ISERROR(MATCH(D644&amp;" (D)", C$657:C$697, 0))))</f>
        <v>0</v>
      </c>
      <c r="M644" s="64" t="e">
        <f aca="true">IF(G644&gt;0,IF(L644,"D",OFFSET(Talents!D$2,G644,0))&amp;OFFSET(Talents!E$2,G644,0)," ")</f>
        <v>#N/A</v>
      </c>
      <c r="N644" s="64" t="n">
        <f aca="false">AND(I45="",C644&lt;&gt;" ")</f>
        <v>0</v>
      </c>
      <c r="O644" s="300" t="n">
        <f aca="false">O643+IF(N643,1,0)</f>
        <v>18</v>
      </c>
      <c r="P644" s="324" t="n">
        <f aca="false">IF(Build!$BY644&lt;=Build!P$615,MATCH(Build!$BY644,Build!O$617:O$714,0))</f>
        <v>0</v>
      </c>
      <c r="Q644" s="112" t="n">
        <f aca="false">Q643+IF(E217&lt;&gt;"",1,0)</f>
        <v>0</v>
      </c>
      <c r="R644" s="324"/>
      <c r="S644" s="112" t="n">
        <f aca="false">S643+IF(E142&lt;&gt;"",1,0)</f>
        <v>2</v>
      </c>
      <c r="T644" s="112"/>
      <c r="U644" s="300" t="n">
        <f aca="false">U643+IF(B420&lt;&gt;"",1,0)</f>
        <v>0</v>
      </c>
      <c r="V644" s="112" t="n">
        <f aca="false">V643+IF(B452&lt;&gt;"",1,0)</f>
        <v>0</v>
      </c>
      <c r="W644" s="112" t="n">
        <f aca="false">W643+IF(B484&lt;&gt;"",1,0)</f>
        <v>0</v>
      </c>
      <c r="X644" s="112" t="n">
        <f aca="false">X643+IF(B516&lt;&gt;"",1,0)</f>
        <v>0</v>
      </c>
      <c r="Y644" s="112" t="n">
        <f aca="false">Y643+IF(B548&lt;&gt;"",1,0)</f>
        <v>0</v>
      </c>
      <c r="Z644" s="324" t="n">
        <f aca="false">IF(B580&lt;&gt;"",1,0)</f>
        <v>0</v>
      </c>
      <c r="AA644" s="300" t="n">
        <f aca="false">IF($BY644&lt;=U$615,MATCH($BY644,U$617:U$737,0))</f>
        <v>0</v>
      </c>
      <c r="AB644" s="112" t="n">
        <f aca="false">IF($BY644&lt;=V$615,MATCH($BY644,V$617:V$737,0))</f>
        <v>0</v>
      </c>
      <c r="AC644" s="112" t="n">
        <f aca="false">IF($BY644&lt;=W$615,MATCH($BY644,W$617:W$737,0))</f>
        <v>0</v>
      </c>
      <c r="AD644" s="112" t="n">
        <f aca="false">IF($BY644&lt;=X$615,MATCH($BY644,X$617:X$737,0))</f>
        <v>0</v>
      </c>
      <c r="AE644" s="112" t="n">
        <f aca="false">IF($BY644&lt;=Y$615,MATCH($BY644,Y$617:Y$737,0))</f>
        <v>0</v>
      </c>
      <c r="AF644" s="324" t="n">
        <f aca="false">IF($BY644&lt;=Z$615,MATCH($BY644,Z$617:Z$737,0))</f>
        <v>0</v>
      </c>
      <c r="AG644" s="325" t="str">
        <f aca="true">IF(AND(AA644&lt;="",AP35=""),OFFSET(Spells!H$2,AA644,0),"")</f>
        <v>Effect</v>
      </c>
      <c r="AH644" s="325" t="str">
        <f aca="true">IF(AND(AB644&lt;="",AP35=""),OFFSET(Spells!R$2,AB644,0),"")</f>
        <v>Effect</v>
      </c>
      <c r="AI644" s="325" t="str">
        <f aca="true">IF(AND(AC644&lt;="",AP35=""),OFFSET(Spells!AB$2,AC644,0),"")</f>
        <v>Effect</v>
      </c>
      <c r="AJ644" s="326" t="str">
        <f aca="true">IF(AND(AD644&lt;="",AP35=""),OFFSET(Spells!AL$2,AD644,0),"")</f>
        <v>Effect</v>
      </c>
      <c r="AK644" s="326" t="str">
        <f aca="true">IF(AND(AE644&lt;="",AP35=""),OFFSET(Spells!AV$2,AE644,0),"")</f>
        <v>Effect</v>
      </c>
      <c r="AL644" s="325" t="str">
        <f aca="true">IF(AND(AF644&lt;="",AP35=""),OFFSET(Spells!$H$2,AF644,0),"")</f>
        <v>Effect</v>
      </c>
      <c r="AM644" s="327" t="str">
        <f aca="false">IF(G63&lt;&gt;"",G63," ")</f>
        <v>Durability</v>
      </c>
      <c r="AN644" s="112" t="n">
        <f aca="false">IF(AM644&gt;0, I63, 0)</f>
        <v>0</v>
      </c>
      <c r="AO644" s="112" t="n">
        <f aca="true">OFFSET(Cost_9_12,AN644,0)</f>
        <v>0</v>
      </c>
      <c r="AP644" s="112" t="n">
        <f aca="false">AP641+IF(AND(AM644&lt;&gt;" ",AN644&gt;0),1,0)</f>
        <v>5</v>
      </c>
      <c r="AQ644" s="324"/>
      <c r="AR644" s="327" t="str">
        <f aca="false">B110&amp;IF(H110&lt;&gt;""," ("&amp;H110&amp;")","")</f>
        <v> </v>
      </c>
      <c r="AS644" s="112" t="n">
        <f aca="false">F110</f>
        <v>0</v>
      </c>
      <c r="AT644" s="112" t="n">
        <f aca="true">OFFSET(CostSkill,AS644,0)-OFFSET(CostSkill,E110,0)</f>
        <v>0</v>
      </c>
      <c r="AU644" s="112" t="str">
        <f aca="false">G110</f>
        <v> </v>
      </c>
      <c r="AV644" s="112" t="n">
        <f aca="false">AV643+IF(AND(AR644&lt;&gt;" ",AS644&gt;0),1,0)</f>
        <v>6</v>
      </c>
      <c r="AW644" s="324" t="n">
        <f aca="false">IF($BY644&lt;=AW$615,MATCH(BY644,AV$617:AV$763,0))</f>
        <v>0</v>
      </c>
      <c r="AX644" s="327" t="str">
        <f aca="false">IF(Discipline1&lt;&gt;"",HLOOKUP(Discipline1,knackfordic,BY641)," ")</f>
        <v>Improvised Weapons</v>
      </c>
      <c r="AY644" s="329" t="n">
        <f aca="false">MATCH(AX644,Talents!G$3:G$210)</f>
        <v>106</v>
      </c>
      <c r="AZ644" s="329" t="str">
        <f aca="true">IF(AY644,OFFSET(Talents!H$2,Build!AY644,0)," ")</f>
        <v>Melee Weapons</v>
      </c>
      <c r="BA644" s="112" t="n">
        <f aca="true">IF(AY644,OFFSET(Talents!J$2,Build!AY644,0)," ")</f>
        <v>1</v>
      </c>
      <c r="BB644" s="112" t="n">
        <f aca="true">IF(AY644,OFFSET(Talents!I$2,Build!AY644,0)," ")</f>
        <v>5</v>
      </c>
      <c r="BC644" s="112" t="n">
        <f aca="true">IF(AY644,OFFSET(Talents!K$2,Build!AY644,0)," ")</f>
        <v>2100</v>
      </c>
      <c r="BD644" s="112" t="n">
        <f aca="true">IF(AX$663=" ",OFFSET(E$615,MATCH(AZ644,D$616:D$656,0),0),IF(ISERROR(MATCH(AZ644,D$657:D$697,0)),OFFSET(E$615,MATCH(AZ644,D$616:D$656,0),0),IF(OFFSET(E$615,MATCH(AZ644,D$616:D$656,0),0)&gt;OFFSET(E$656,MATCH(AZ644,D$657:D$697,0),0),OFFSET(E$615,MATCH(AZ644,D$616:D$656,0),0),OFFSET(E$656,MATCH(AZ644,D$657:D$697,0),0))))</f>
        <v>8</v>
      </c>
      <c r="BE644" s="112" t="n">
        <f aca="false">BE643+IF(ISERROR(BD644), 0, IF(BD644&gt;=BB644, 1, 0))</f>
        <v>16</v>
      </c>
      <c r="BF644" s="324" t="n">
        <f aca="false">IF($BY644&lt;=BF$615,MATCH(BY644,BE$617:BE$681,0))</f>
        <v>0</v>
      </c>
      <c r="BG644" s="42"/>
      <c r="BH644" s="42"/>
      <c r="BJ644" s="327" t="str">
        <f aca="false">IF(P207&lt;&gt;"",M207," ")</f>
        <v> </v>
      </c>
      <c r="BK644" s="112" t="n">
        <f aca="false">IF(P207="",0,Q207)</f>
        <v>0</v>
      </c>
      <c r="BL644" s="112" t="n">
        <f aca="false">BL643+IF(BJ644&lt;&gt;" ",BK644,0)</f>
        <v>2</v>
      </c>
      <c r="BM644" s="112" t="n">
        <f aca="false">R207</f>
        <v>0</v>
      </c>
      <c r="BN644" s="112" t="n">
        <f aca="false">BN643+IF(BJ644&lt;&gt;" ",BM644,0)</f>
        <v>0</v>
      </c>
      <c r="BO644" s="329" t="str">
        <f aca="false">BO645&amp;IF(BJ644&lt;&gt;" ",", "&amp;BJ644&amp;" ("&amp;BK644&amp;")","")</f>
        <v>, Karma (3), Horror Fend (3)</v>
      </c>
      <c r="BP644" s="327" t="n">
        <f aca="false">BP643+IF(BJ644&lt;&gt;" ",1,0)</f>
        <v>1</v>
      </c>
      <c r="BQ644" s="332"/>
      <c r="BY644" s="333" t="n">
        <f aca="false">BY643+1</f>
        <v>28</v>
      </c>
      <c r="BZ644" s="329" t="str">
        <f aca="false">H246</f>
        <v>Dress, Satin</v>
      </c>
      <c r="CA644" s="112" t="n">
        <f aca="false">K246</f>
        <v>0</v>
      </c>
      <c r="CB644" s="112" t="n">
        <f aca="false">L246</f>
        <v>100</v>
      </c>
      <c r="CC644" s="112" t="s">
        <v>301</v>
      </c>
      <c r="CD644" s="329" t="n">
        <f aca="false">FIND(",",BZ644)</f>
        <v>6</v>
      </c>
      <c r="CE644" s="329" t="str">
        <f aca="false">IF(ISERROR(CD644),BZ644,MID(BZ644,CD644+2,20)&amp;" "&amp;LEFT(BZ644,CD644-1))&amp;IF(ISERROR(VALUE(CA644)),"",IF(CA644&gt;1," ("&amp;CA644&amp;")",""))</f>
        <v>Satin Dress</v>
      </c>
      <c r="CF644" s="329" t="str">
        <f aca="false">IF(CC644=" "," ",IF(ISERROR(VALUE(CA644)),CC644,CA644*CC644))</f>
        <v> </v>
      </c>
      <c r="CG644" s="112" t="n">
        <f aca="false">CG643+IF(AND(BZ644&lt;&gt;0,CA644&lt;&gt;0),1,0)</f>
        <v>3</v>
      </c>
      <c r="CH644" s="112" t="n">
        <f aca="false">IF($BY644&lt;=CH$615,MATCH($BY644,CG$617:CG$863,0))</f>
        <v>0</v>
      </c>
    </row>
    <row r="645" s="32" customFormat="true" ht="12.8" hidden="false" customHeight="false" outlineLevel="0" collapsed="false">
      <c r="B645" s="279" t="n">
        <v>11</v>
      </c>
      <c r="C645" s="67" t="str">
        <f aca="false">IF(Circle1&gt;=$B645,HLOOKUP(Discipline1,talentfordisc,1+BY646,0)," ")</f>
        <v> </v>
      </c>
      <c r="D645" s="67" t="str">
        <f aca="false">IF(RIGHT(C645, 3)="(D)",LEFT(C645,LEN(C645)-4),C645)</f>
        <v> </v>
      </c>
      <c r="E645" s="64" t="n">
        <f aca="false">F46</f>
        <v>0</v>
      </c>
      <c r="F645" s="182" t="n">
        <f aca="true">OFFSET(Cost_9_12,E645,0)</f>
        <v>0</v>
      </c>
      <c r="G645" s="64" t="n">
        <f aca="false">IF(C645&lt;&gt;" ",MATCH(D645,Talents!B$3:B$345,1),0)</f>
        <v>0</v>
      </c>
      <c r="H645" s="64" t="str">
        <f aca="true">IF(G645=0," ",OFFSET(Talents!C$2,G645,0))</f>
        <v> </v>
      </c>
      <c r="I645" s="64" t="n">
        <f aca="false">IF(E645&gt;0,G46,0)</f>
        <v>0</v>
      </c>
      <c r="J645" s="64" t="str">
        <f aca="false">IF(H645&lt;&gt;" ",E645+VLOOKUP(H645,G$597:L$603,6,0)+I645," ")</f>
        <v> </v>
      </c>
      <c r="K645" s="64" t="str">
        <f aca="true">IF(J645&lt;&gt;" ",OFFSET(ActionDice,J645,0),"-")</f>
        <v>-</v>
      </c>
      <c r="L645" s="67" t="n">
        <f aca="false">OR(RIGHT(C645, 3)="(D)", NOT(ISERROR(MATCH(D645&amp;" (D)", C$657:C$697, 0))))</f>
        <v>0</v>
      </c>
      <c r="M645" s="64" t="str">
        <f aca="true">IF(G645&gt;0,IF(L645,"D",OFFSET(Talents!D$2,G645,0))&amp;OFFSET(Talents!E$2,G645,0)," ")</f>
        <v> </v>
      </c>
      <c r="N645" s="64" t="n">
        <f aca="false">AND(I46="",C645&lt;&gt;" ")</f>
        <v>0</v>
      </c>
      <c r="O645" s="300" t="n">
        <f aca="false">O644+IF(N644,1,0)</f>
        <v>18</v>
      </c>
      <c r="P645" s="324" t="n">
        <f aca="false">IF(Build!$BY645&lt;=Build!P$615,MATCH(Build!$BY645,Build!O$617:O$714,0))</f>
        <v>0</v>
      </c>
      <c r="Q645" s="112" t="n">
        <f aca="false">Q644+IF(E218&lt;&gt;"",1,0)</f>
        <v>0</v>
      </c>
      <c r="R645" s="324"/>
      <c r="S645" s="112" t="n">
        <f aca="false">S644+IF(E143&lt;&gt;"",1,0)</f>
        <v>2</v>
      </c>
      <c r="T645" s="112"/>
      <c r="U645" s="300" t="n">
        <f aca="false">U644+IF(B421&lt;&gt;"",1,0)</f>
        <v>0</v>
      </c>
      <c r="V645" s="112" t="n">
        <f aca="false">V644+IF(B453&lt;&gt;"",1,0)</f>
        <v>0</v>
      </c>
      <c r="W645" s="112" t="n">
        <f aca="false">W644+IF(B485&lt;&gt;"",1,0)</f>
        <v>0</v>
      </c>
      <c r="X645" s="112" t="n">
        <f aca="false">X644+IF(B517&lt;&gt;"",1,0)</f>
        <v>0</v>
      </c>
      <c r="Y645" s="112" t="n">
        <f aca="false">Y644+IF(B549&lt;&gt;"",1,0)</f>
        <v>0</v>
      </c>
      <c r="Z645" s="324" t="n">
        <f aca="false">IF(B581&lt;&gt;"",1,0)</f>
        <v>0</v>
      </c>
      <c r="AA645" s="300" t="n">
        <f aca="false">IF($BY645&lt;=U$615,MATCH($BY645,U$617:U$737,0))</f>
        <v>0</v>
      </c>
      <c r="AB645" s="112" t="n">
        <f aca="false">IF($BY645&lt;=V$615,MATCH($BY645,V$617:V$737,0))</f>
        <v>0</v>
      </c>
      <c r="AC645" s="112" t="n">
        <f aca="false">IF($BY645&lt;=W$615,MATCH($BY645,W$617:W$737,0))</f>
        <v>0</v>
      </c>
      <c r="AD645" s="112" t="n">
        <f aca="false">IF($BY645&lt;=X$615,MATCH($BY645,X$617:X$737,0))</f>
        <v>0</v>
      </c>
      <c r="AE645" s="112" t="n">
        <f aca="false">IF($BY645&lt;=Y$615,MATCH($BY645,Y$617:Y$737,0))</f>
        <v>0</v>
      </c>
      <c r="AF645" s="324" t="n">
        <f aca="false">IF($BY645&lt;=Z$615,MATCH($BY645,Z$617:Z$737,0))</f>
        <v>0</v>
      </c>
      <c r="AG645" s="325" t="str">
        <f aca="true">IF(AND(AA645&lt;="",AP36=""),OFFSET(Spells!H$2,AA645,0),"")</f>
        <v>Effect</v>
      </c>
      <c r="AH645" s="325" t="str">
        <f aca="true">IF(AND(AB645&lt;="",AP36=""),OFFSET(Spells!R$2,AB645,0),"")</f>
        <v>Effect</v>
      </c>
      <c r="AI645" s="325" t="str">
        <f aca="true">IF(AND(AC645&lt;="",AP36=""),OFFSET(Spells!AB$2,AC645,0),"")</f>
        <v>Effect</v>
      </c>
      <c r="AJ645" s="326" t="str">
        <f aca="true">IF(AND(AD645&lt;="",AP36=""),OFFSET(Spells!AL$2,AD645,0),"")</f>
        <v>Effect</v>
      </c>
      <c r="AK645" s="326" t="str">
        <f aca="true">IF(AND(AE645&lt;="",AP36=""),OFFSET(Spells!AV$2,AE645,0),"")</f>
        <v>Effect</v>
      </c>
      <c r="AL645" s="325" t="str">
        <f aca="true">IF(AND(AF645&lt;="",AP36=""),OFFSET(Spells!$H$2,AF645,0),"")</f>
        <v>Effect</v>
      </c>
      <c r="AM645" s="327" t="str">
        <f aca="false">IF(G64&lt;&gt;"",G64," ")</f>
        <v> </v>
      </c>
      <c r="AN645" s="112" t="n">
        <f aca="false">IF(AM645&gt;0, I64, 0)</f>
        <v>0</v>
      </c>
      <c r="AO645" s="112" t="n">
        <f aca="true">OFFSET(Cost_9_12,AN645,0)</f>
        <v>0</v>
      </c>
      <c r="AP645" s="112" t="n">
        <f aca="false">AP644+IF(AND(AM645&lt;&gt;" ",AN645&gt;0),1,0)</f>
        <v>5</v>
      </c>
      <c r="AQ645" s="324"/>
      <c r="AR645" s="327" t="str">
        <f aca="false">B111&amp;IF(H111&lt;&gt;""," ("&amp;H111&amp;")","")</f>
        <v> </v>
      </c>
      <c r="AS645" s="112" t="n">
        <f aca="false">F111</f>
        <v>0</v>
      </c>
      <c r="AT645" s="112" t="n">
        <f aca="true">OFFSET(CostSkill,AS645,0)-OFFSET(CostSkill,E111,0)</f>
        <v>0</v>
      </c>
      <c r="AU645" s="112" t="str">
        <f aca="false">G111</f>
        <v> </v>
      </c>
      <c r="AV645" s="112" t="n">
        <f aca="false">AV644+IF(AND(AR645&lt;&gt;" ",AS645&gt;0),1,0)</f>
        <v>6</v>
      </c>
      <c r="AW645" s="324" t="n">
        <f aca="false">IF($BY645&lt;=AW$615,MATCH(BY645,AV$617:AV$763,0))</f>
        <v>0</v>
      </c>
      <c r="AX645" s="327" t="str">
        <f aca="false">IF(Discipline1&lt;&gt;"",HLOOKUP(Discipline1,knackfordic,BY642)," ")</f>
        <v>Liar</v>
      </c>
      <c r="AY645" s="329" t="n">
        <f aca="false">MATCH(AX645,Talents!G$3:G$210)</f>
        <v>112</v>
      </c>
      <c r="AZ645" s="329" t="str">
        <f aca="true">IF(AY645,OFFSET(Talents!H$2,Build!AY645,0)," ")</f>
        <v>Detect Falsehood</v>
      </c>
      <c r="BA645" s="112" t="n">
        <f aca="true">IF(AY645,OFFSET(Talents!J$2,Build!AY645,0)," ")</f>
        <v>1</v>
      </c>
      <c r="BB645" s="112" t="n">
        <f aca="true">IF(AY645,OFFSET(Talents!I$2,Build!AY645,0)," ")</f>
        <v>6</v>
      </c>
      <c r="BC645" s="112" t="n">
        <f aca="true">IF(AY645,OFFSET(Talents!K$2,Build!AY645,0)," ")</f>
        <v>8900</v>
      </c>
      <c r="BD645" s="112" t="e">
        <f aca="true">IF(AX$663=" ",OFFSET(E$615,MATCH(AZ645,D$616:D$656,0),0),IF(ISERROR(MATCH(AZ645,D$657:D$697,0)),OFFSET(E$615,MATCH(AZ645,D$616:D$656,0),0),IF(OFFSET(E$615,MATCH(AZ645,D$616:D$656,0),0)&gt;OFFSET(E$656,MATCH(AZ645,D$657:D$697,0),0),OFFSET(E$615,MATCH(AZ645,D$616:D$656,0),0),OFFSET(E$656,MATCH(AZ645,D$657:D$697,0),0))))</f>
        <v>#N/A</v>
      </c>
      <c r="BE645" s="112" t="n">
        <f aca="false">BE644+IF(ISERROR(BD645), 0, IF(BD645&gt;=BB645, 1, 0))</f>
        <v>16</v>
      </c>
      <c r="BF645" s="324" t="n">
        <f aca="false">IF($BY645&lt;=BF$615,MATCH(BY645,BE$617:BE$681,0))</f>
        <v>0</v>
      </c>
      <c r="BG645" s="42"/>
      <c r="BH645" s="42"/>
      <c r="BJ645" s="327" t="str">
        <f aca="false">IF(P208&lt;&gt;"",M208," ")</f>
        <v> </v>
      </c>
      <c r="BK645" s="112" t="n">
        <f aca="false">IF(P208="",0,Q208)</f>
        <v>0</v>
      </c>
      <c r="BL645" s="112" t="n">
        <f aca="false">BL644+IF(BJ645&lt;&gt;" ",BK645,0)</f>
        <v>2</v>
      </c>
      <c r="BM645" s="112" t="n">
        <f aca="false">R208</f>
        <v>1</v>
      </c>
      <c r="BN645" s="112" t="n">
        <f aca="false">BN644+IF(BJ645&lt;&gt;" ",BM645,0)</f>
        <v>0</v>
      </c>
      <c r="BO645" s="329" t="str">
        <f aca="false">BO646&amp;IF(BJ645&lt;&gt;" ",", "&amp;BJ645&amp;" ("&amp;BK645&amp;")","")</f>
        <v>, Karma (3), Horror Fend (3)</v>
      </c>
      <c r="BP645" s="327" t="n">
        <f aca="false">BP644+IF(BJ645&lt;&gt;" ",1,0)</f>
        <v>1</v>
      </c>
      <c r="BQ645" s="332"/>
      <c r="BY645" s="333" t="n">
        <f aca="false">BY644+1</f>
        <v>29</v>
      </c>
      <c r="BZ645" s="329" t="str">
        <f aca="false">H247</f>
        <v>Dress, Ballroom gown</v>
      </c>
      <c r="CA645" s="112" t="n">
        <f aca="false">K247</f>
        <v>0</v>
      </c>
      <c r="CB645" s="112" t="n">
        <f aca="false">L247</f>
        <v>250</v>
      </c>
      <c r="CC645" s="112" t="s">
        <v>301</v>
      </c>
      <c r="CD645" s="329" t="n">
        <f aca="false">FIND(",",BZ645)</f>
        <v>6</v>
      </c>
      <c r="CE645" s="329" t="str">
        <f aca="false">IF(ISERROR(CD645),BZ645,MID(BZ645,CD645+2,20)&amp;" "&amp;LEFT(BZ645,CD645-1))&amp;IF(ISERROR(VALUE(CA645)),"",IF(CA645&gt;1," ("&amp;CA645&amp;")",""))</f>
        <v>Ballroom gown Dress</v>
      </c>
      <c r="CF645" s="329" t="str">
        <f aca="false">IF(CC645=" "," ",IF(ISERROR(VALUE(CA645)),CC645,CA645*CC645))</f>
        <v> </v>
      </c>
      <c r="CG645" s="112" t="n">
        <f aca="false">CG644+IF(AND(BZ645&lt;&gt;0,CA645&lt;&gt;0),1,0)</f>
        <v>3</v>
      </c>
      <c r="CH645" s="112" t="n">
        <f aca="false">IF($BY645&lt;=CH$615,MATCH($BY645,CG$617:CG$863,0))</f>
        <v>0</v>
      </c>
    </row>
    <row r="646" s="32" customFormat="true" ht="12.8" hidden="false" customHeight="false" outlineLevel="0" collapsed="false">
      <c r="B646" s="279" t="n">
        <v>11</v>
      </c>
      <c r="C646" s="67" t="n">
        <f aca="false">AQ47</f>
        <v>0</v>
      </c>
      <c r="D646" s="67" t="n">
        <f aca="false">IF(RIGHT(C646, 3)="(D)",LEFT(C646,LEN(C646)-4),C646)</f>
        <v>0</v>
      </c>
      <c r="E646" s="64" t="n">
        <f aca="false">F47</f>
        <v>0</v>
      </c>
      <c r="F646" s="182" t="n">
        <f aca="true">OFFSET(Cost_9_12,E646,0)</f>
        <v>0</v>
      </c>
      <c r="G646" s="64" t="e">
        <f aca="false">IF(C646&lt;&gt;" ",MATCH(D646,Talents!B$3:B$345,1),0)</f>
        <v>#N/A</v>
      </c>
      <c r="H646" s="64" t="e">
        <f aca="true">IF(G646=0," ",OFFSET(Talents!C$2,G646,0))</f>
        <v>#N/A</v>
      </c>
      <c r="I646" s="64" t="n">
        <f aca="false">IF(E646&gt;0,G47,0)</f>
        <v>0</v>
      </c>
      <c r="J646" s="64" t="e">
        <f aca="false">IF(H646&lt;&gt;" ",E646+VLOOKUP(H646,G$597:L$603,6,0)+I646," ")</f>
        <v>#N/A</v>
      </c>
      <c r="K646" s="64" t="e">
        <f aca="true">IF(J646&lt;&gt;" ",OFFSET(ActionDice,J646,0),"-")</f>
        <v>#N/A</v>
      </c>
      <c r="L646" s="67" t="n">
        <f aca="false">OR(RIGHT(C646, 3)="(D)", NOT(ISERROR(MATCH(D646&amp;" (D)", C$657:C$697, 0))))</f>
        <v>0</v>
      </c>
      <c r="M646" s="64" t="e">
        <f aca="true">IF(G646&gt;0,IF(L646,"D",OFFSET(Talents!D$2,G646,0))&amp;OFFSET(Talents!E$2,G646,0)," ")</f>
        <v>#N/A</v>
      </c>
      <c r="N646" s="64" t="n">
        <f aca="false">AND(I47="",C646&lt;&gt;" ")</f>
        <v>0</v>
      </c>
      <c r="O646" s="300" t="n">
        <f aca="false">O645+IF(N645,1,0)</f>
        <v>18</v>
      </c>
      <c r="P646" s="324" t="n">
        <f aca="false">IF(Build!$BY646&lt;=Build!P$615,MATCH(Build!$BY646,Build!O$617:O$714,0))</f>
        <v>0</v>
      </c>
      <c r="Q646" s="112" t="n">
        <f aca="false">Q645+IF(E219&lt;&gt;"",1,0)</f>
        <v>0</v>
      </c>
      <c r="R646" s="324"/>
      <c r="S646" s="112" t="n">
        <f aca="false">S645+IF(E144&lt;&gt;"",1,0)</f>
        <v>2</v>
      </c>
      <c r="T646" s="112"/>
      <c r="U646" s="300" t="n">
        <f aca="false">U645+IF(B422&lt;&gt;"",1,0)</f>
        <v>0</v>
      </c>
      <c r="V646" s="112" t="n">
        <f aca="false">V645+IF(B454&lt;&gt;"",1,0)</f>
        <v>0</v>
      </c>
      <c r="W646" s="112" t="n">
        <f aca="false">W645+IF(B486&lt;&gt;"",1,0)</f>
        <v>0</v>
      </c>
      <c r="X646" s="112" t="n">
        <f aca="false">X645+IF(B518&lt;&gt;"",1,0)</f>
        <v>0</v>
      </c>
      <c r="Y646" s="175" t="n">
        <f aca="false">Y645+IF(B550&lt;&gt;"",1,0)</f>
        <v>0</v>
      </c>
      <c r="Z646" s="289" t="n">
        <f aca="false">IF(B582&lt;&gt;"",1,0)</f>
        <v>0</v>
      </c>
      <c r="AA646" s="300" t="n">
        <f aca="false">IF($BY646&lt;=U$615,MATCH($BY646,U$617:U$737,0))</f>
        <v>0</v>
      </c>
      <c r="AB646" s="112" t="n">
        <f aca="false">IF($BY646&lt;=V$615,MATCH($BY646,V$617:V$737,0))</f>
        <v>0</v>
      </c>
      <c r="AC646" s="112" t="n">
        <f aca="false">IF($BY646&lt;=W$615,MATCH($BY646,W$617:W$737,0))</f>
        <v>0</v>
      </c>
      <c r="AD646" s="112" t="n">
        <f aca="false">IF($BY646&lt;=X$615,MATCH($BY646,X$617:X$737,0))</f>
        <v>0</v>
      </c>
      <c r="AE646" s="112" t="n">
        <f aca="false">IF($BY646&lt;=Y$615,MATCH($BY646,Y$617:Y$737,0))</f>
        <v>0</v>
      </c>
      <c r="AF646" s="324" t="n">
        <f aca="false">IF($BY646&lt;=Z$615,MATCH($BY646,Z$617:Z$737,0))</f>
        <v>0</v>
      </c>
      <c r="AG646" s="325" t="str">
        <f aca="true">IF(AND(AA646&lt;="",AP37=""),OFFSET(Spells!H$2,AA646,0),"")</f>
        <v>Effect</v>
      </c>
      <c r="AH646" s="325" t="str">
        <f aca="true">IF(AND(AB646&lt;="",AP37=""),OFFSET(Spells!R$2,AB646,0),"")</f>
        <v>Effect</v>
      </c>
      <c r="AI646" s="325" t="str">
        <f aca="true">IF(AND(AC646&lt;="",AP37=""),OFFSET(Spells!AB$2,AC646,0),"")</f>
        <v>Effect</v>
      </c>
      <c r="AJ646" s="326" t="str">
        <f aca="true">IF(AND(AD646&lt;="",AP37=""),OFFSET(Spells!AL$2,AD646,0),"")</f>
        <v>Effect</v>
      </c>
      <c r="AK646" s="326" t="str">
        <f aca="true">IF(AND(AE646&lt;="",AP37=""),OFFSET(Spells!AV$2,AE646,0),"")</f>
        <v>Effect</v>
      </c>
      <c r="AL646" s="325" t="str">
        <f aca="true">IF(AND(AF646&lt;="",AP37=""),OFFSET(Spells!$H$2,AF646,0),"")</f>
        <v>Effect</v>
      </c>
      <c r="AM646" s="327" t="str">
        <f aca="false">IF(G65&lt;&gt;"",G65," ")</f>
        <v> </v>
      </c>
      <c r="AN646" s="112" t="n">
        <f aca="false">IF(AM646&gt;0, I65, 0)</f>
        <v>0</v>
      </c>
      <c r="AO646" s="112" t="n">
        <f aca="true">OFFSET(Cost_9_12,AN646,0)</f>
        <v>0</v>
      </c>
      <c r="AP646" s="112" t="n">
        <f aca="false">AP645+IF(AND(AM646&lt;&gt;" ",AN646&gt;0),1,0)</f>
        <v>5</v>
      </c>
      <c r="AQ646" s="324"/>
      <c r="AR646" s="327" t="str">
        <f aca="false">K81&amp;IF(Q81&lt;&gt;""," ("&amp;Q81&amp;")","")</f>
        <v>Acrobatic Strike</v>
      </c>
      <c r="AS646" s="112" t="n">
        <f aca="false">O81</f>
        <v>0</v>
      </c>
      <c r="AT646" s="112" t="n">
        <f aca="true">OFFSET(CostSkill,AS646,0)-OFFSET(CostSkill,N81,0)</f>
        <v>0</v>
      </c>
      <c r="AU646" s="112" t="str">
        <f aca="false">P81</f>
        <v>D</v>
      </c>
      <c r="AV646" s="112" t="n">
        <f aca="false">AV645+IF(AND(AR646&lt;&gt;" ",AS646&gt;0),1,0)</f>
        <v>6</v>
      </c>
      <c r="AW646" s="324" t="n">
        <f aca="false">IF($BY646&lt;=AW$615,MATCH(BY646,AV$617:AV$763,0))</f>
        <v>0</v>
      </c>
      <c r="AX646" s="327" t="str">
        <f aca="false">IF(Discipline1&lt;&gt;"",HLOOKUP(Discipline1,knackfordic,BY643)," ")</f>
        <v>Lift the Curtain</v>
      </c>
      <c r="AY646" s="329" t="n">
        <f aca="false">MATCH(AX646,Talents!G$3:G$210)</f>
        <v>113</v>
      </c>
      <c r="AZ646" s="329" t="str">
        <f aca="true">IF(AY646,OFFSET(Talents!H$2,Build!AY646,0)," ")</f>
        <v>Astral Sight</v>
      </c>
      <c r="BA646" s="112" t="str">
        <f aca="true">IF(AY646,OFFSET(Talents!J$2,Build!AY646,0)," ")</f>
        <v>1/min</v>
      </c>
      <c r="BB646" s="112" t="n">
        <f aca="true">IF(AY646,OFFSET(Talents!I$2,Build!AY646,0)," ")</f>
        <v>7</v>
      </c>
      <c r="BC646" s="112" t="n">
        <f aca="true">IF(AY646,OFFSET(Talents!K$2,Build!AY646,0)," ")</f>
        <v>5500</v>
      </c>
      <c r="BD646" s="112" t="n">
        <f aca="true">IF(AX$663=" ",OFFSET(E$615,MATCH(AZ646,D$616:D$656,0),0),IF(ISERROR(MATCH(AZ646,D$657:D$697,0)),OFFSET(E$615,MATCH(AZ646,D$616:D$656,0),0),IF(OFFSET(E$615,MATCH(AZ646,D$616:D$656,0),0)&gt;OFFSET(E$656,MATCH(AZ646,D$657:D$697,0),0),OFFSET(E$615,MATCH(AZ646,D$616:D$656,0),0),OFFSET(E$656,MATCH(AZ646,D$657:D$697,0),0))))</f>
        <v>8</v>
      </c>
      <c r="BE646" s="112" t="n">
        <f aca="false">BE645+IF(ISERROR(BD646), 0, IF(BD646&gt;=BB646, 1, 0))</f>
        <v>17</v>
      </c>
      <c r="BF646" s="324" t="n">
        <f aca="false">IF($BY646&lt;=BF$615,MATCH(BY646,BE$617:BE$681,0))</f>
        <v>0</v>
      </c>
      <c r="BG646" s="42"/>
      <c r="BH646" s="42"/>
      <c r="BJ646" s="327" t="str">
        <f aca="false">IF(P209&lt;&gt;"",M209," ")</f>
        <v> </v>
      </c>
      <c r="BK646" s="112" t="n">
        <f aca="false">IF(P209="",0,Q209)</f>
        <v>0</v>
      </c>
      <c r="BL646" s="112" t="n">
        <f aca="false">BL645+IF(BJ646&lt;&gt;" ",BK646,0)</f>
        <v>2</v>
      </c>
      <c r="BM646" s="112" t="n">
        <f aca="false">R209</f>
        <v>1</v>
      </c>
      <c r="BN646" s="112" t="n">
        <f aca="false">BN645+IF(BJ646&lt;&gt;" ",BM646,0)</f>
        <v>0</v>
      </c>
      <c r="BO646" s="329" t="str">
        <f aca="false">BO647&amp;IF(BJ646&lt;&gt;" ",", "&amp;BJ646&amp;" ("&amp;BK646&amp;")","")</f>
        <v>, Karma (3), Horror Fend (3)</v>
      </c>
      <c r="BP646" s="327" t="n">
        <f aca="false">BP645+IF(BJ646&lt;&gt;" ",1,0)</f>
        <v>1</v>
      </c>
      <c r="BQ646" s="332"/>
      <c r="BY646" s="333" t="n">
        <f aca="false">BY645+1</f>
        <v>30</v>
      </c>
      <c r="BZ646" s="329" t="str">
        <f aca="false">H248</f>
        <v>Dress, Theran</v>
      </c>
      <c r="CA646" s="112" t="n">
        <f aca="false">K248</f>
        <v>0</v>
      </c>
      <c r="CB646" s="112" t="n">
        <f aca="false">L248</f>
        <v>560</v>
      </c>
      <c r="CC646" s="112" t="s">
        <v>301</v>
      </c>
      <c r="CD646" s="329" t="n">
        <f aca="false">FIND(",",BZ646)</f>
        <v>6</v>
      </c>
      <c r="CE646" s="329" t="str">
        <f aca="false">IF(ISERROR(CD646),BZ646,MID(BZ646,CD646+2,20)&amp;" "&amp;LEFT(BZ646,CD646-1))&amp;IF(ISERROR(VALUE(CA646)),"",IF(CA646&gt;1," ("&amp;CA646&amp;")",""))</f>
        <v>Theran Dress</v>
      </c>
      <c r="CF646" s="329" t="str">
        <f aca="false">IF(CC646=" "," ",IF(ISERROR(VALUE(CA646)),CC646,CA646*CC646))</f>
        <v> </v>
      </c>
      <c r="CG646" s="112" t="n">
        <f aca="false">CG645+IF(AND(BZ646&lt;&gt;0,CA646&lt;&gt;0),1,0)</f>
        <v>3</v>
      </c>
      <c r="CH646" s="112" t="n">
        <f aca="false">IF($BY646&lt;=CH$615,MATCH($BY646,CG$617:CG$863,0))</f>
        <v>0</v>
      </c>
    </row>
    <row r="647" s="32" customFormat="true" ht="12.8" hidden="false" customHeight="false" outlineLevel="0" collapsed="false">
      <c r="B647" s="279" t="n">
        <v>12</v>
      </c>
      <c r="C647" s="67" t="str">
        <f aca="false">IF(Circle1&gt;=$B647,HLOOKUP(Discipline1,talentfordisc,1+BY648,0)," ")</f>
        <v> </v>
      </c>
      <c r="D647" s="67" t="str">
        <f aca="false">IF(RIGHT(C647, 3)="(D)",LEFT(C647,LEN(C647)-4),C647)</f>
        <v> </v>
      </c>
      <c r="E647" s="64" t="n">
        <f aca="false">F48</f>
        <v>0</v>
      </c>
      <c r="F647" s="182" t="n">
        <f aca="true">OFFSET(Cost_9_12,E647,0)</f>
        <v>0</v>
      </c>
      <c r="G647" s="64" t="n">
        <f aca="false">IF(C647&lt;&gt;" ",MATCH(D647,Talents!B$3:B$345,1),0)</f>
        <v>0</v>
      </c>
      <c r="H647" s="64" t="str">
        <f aca="true">IF(G647=0," ",OFFSET(Talents!C$2,G647,0))</f>
        <v> </v>
      </c>
      <c r="I647" s="64" t="n">
        <f aca="false">IF(E647&gt;0,G48,0)</f>
        <v>0</v>
      </c>
      <c r="J647" s="64" t="str">
        <f aca="false">IF(H647&lt;&gt;" ",E647+VLOOKUP(H647,G$597:L$603,6,0)+I647," ")</f>
        <v> </v>
      </c>
      <c r="K647" s="64" t="str">
        <f aca="true">IF(J647&lt;&gt;" ",OFFSET(ActionDice,J647,0),"-")</f>
        <v>-</v>
      </c>
      <c r="L647" s="67" t="n">
        <f aca="false">OR(RIGHT(C647, 3)="(D)", NOT(ISERROR(MATCH(D647&amp;" (D)", C$657:C$697, 0))))</f>
        <v>0</v>
      </c>
      <c r="M647" s="64" t="str">
        <f aca="true">IF(G647&gt;0,IF(L647,"D",OFFSET(Talents!D$2,G647,0))&amp;OFFSET(Talents!E$2,G647,0)," ")</f>
        <v> </v>
      </c>
      <c r="N647" s="64" t="n">
        <f aca="false">AND(I48="",C647&lt;&gt;" ")</f>
        <v>0</v>
      </c>
      <c r="O647" s="300" t="n">
        <f aca="false">O646+IF(N646,1,0)</f>
        <v>18</v>
      </c>
      <c r="P647" s="324" t="n">
        <f aca="false">IF(Build!$BY647&lt;=Build!P$615,MATCH(Build!$BY647,Build!O$617:O$714,0))</f>
        <v>0</v>
      </c>
      <c r="Q647" s="112" t="n">
        <f aca="false">Q646+IF(E220&lt;&gt;"",1,0)</f>
        <v>0</v>
      </c>
      <c r="R647" s="324"/>
      <c r="S647" s="112" t="n">
        <f aca="false">S646+IF(E145&lt;&gt;"",1,0)</f>
        <v>2</v>
      </c>
      <c r="T647" s="112"/>
      <c r="U647" s="286" t="n">
        <f aca="false">U646+IF(H393&lt;&gt;"",1,0)</f>
        <v>0</v>
      </c>
      <c r="V647" s="182" t="n">
        <f aca="false">V646+IF(H425&lt;&gt;"",1,0)</f>
        <v>0</v>
      </c>
      <c r="W647" s="182" t="n">
        <f aca="false">W646+IF(H457&lt;&gt;"",1,0)</f>
        <v>0</v>
      </c>
      <c r="X647" s="182" t="n">
        <f aca="false">X646+IF(H489&lt;&gt;"",1,0)</f>
        <v>0</v>
      </c>
      <c r="Y647" s="112" t="n">
        <f aca="false">Y646+IF($H521&lt;&gt;"",1,0)</f>
        <v>0</v>
      </c>
      <c r="Z647" s="112" t="n">
        <f aca="false">Z646+IF($H553&lt;&gt;"",1,0)</f>
        <v>0</v>
      </c>
      <c r="AA647" s="286" t="n">
        <f aca="false">IF($BY647&lt;=U$615,MATCH($BY647,U$617:U$737,0))</f>
        <v>0</v>
      </c>
      <c r="AB647" s="182" t="n">
        <f aca="false">IF($BY647&lt;=V$615,MATCH($BY647,V$617:V$737,0))</f>
        <v>0</v>
      </c>
      <c r="AC647" s="182" t="n">
        <f aca="false">IF($BY647&lt;=W$615,MATCH($BY647,W$617:W$737,0))</f>
        <v>0</v>
      </c>
      <c r="AD647" s="182" t="n">
        <f aca="false">IF($BY647&lt;=X$615,MATCH($BY647,X$617:X$737,0))</f>
        <v>0</v>
      </c>
      <c r="AE647" s="182" t="n">
        <f aca="false">IF($BY647&lt;=Y$615,MATCH($BY647,Y$617:Y$737,0))</f>
        <v>0</v>
      </c>
      <c r="AF647" s="324" t="n">
        <f aca="false">IF($BY647&lt;=Z$615,MATCH($BY647,Z$617:Z$737,0))</f>
        <v>0</v>
      </c>
      <c r="AG647" s="339" t="str">
        <f aca="true">IF(AND(AA647&lt;="",AP38=""),OFFSET(Spells!H$2,AA647,0),"")</f>
        <v>Effect</v>
      </c>
      <c r="AH647" s="339" t="str">
        <f aca="true">IF(AND(AB647&lt;="",AP38=""),OFFSET(Spells!R$2,AB647,0),"")</f>
        <v>Effect</v>
      </c>
      <c r="AI647" s="339" t="str">
        <f aca="true">IF(AND(AC647&lt;="",AP38=""),OFFSET(Spells!AB$2,AC647,0),"")</f>
        <v>Effect</v>
      </c>
      <c r="AJ647" s="184" t="str">
        <f aca="true">IF(AND(AD647&lt;="",AP38=""),OFFSET(Spells!AL$2,AD647,0),"")</f>
        <v>Effect</v>
      </c>
      <c r="AK647" s="326" t="str">
        <f aca="true">IF(AND(AE647&lt;="",AP38=""),OFFSET(Spells!AV$2,AE647,0),"")</f>
        <v>Effect</v>
      </c>
      <c r="AL647" s="325" t="str">
        <f aca="true">IF(AND(AF647&lt;="",AP38=""),OFFSET(Spells!$H$2,AF647,0),"")</f>
        <v>Effect</v>
      </c>
      <c r="AM647" s="327" t="str">
        <f aca="false">IF(G66&lt;&gt;"",G66," ")</f>
        <v> </v>
      </c>
      <c r="AN647" s="112" t="n">
        <f aca="false">IF(AM647&gt;0, I66, 0)</f>
        <v>0</v>
      </c>
      <c r="AO647" s="112" t="n">
        <f aca="true">OFFSET(Cost_9_12,AN647,0)</f>
        <v>0</v>
      </c>
      <c r="AP647" s="112" t="n">
        <f aca="false">AP646+IF(AND(AM647&lt;&gt;" ",AN647&gt;0),1,0)</f>
        <v>5</v>
      </c>
      <c r="AQ647" s="324"/>
      <c r="AR647" s="327" t="str">
        <f aca="false">K82&amp;IF(Q82&lt;&gt;""," ("&amp;Q82&amp;")","")</f>
        <v>Acting</v>
      </c>
      <c r="AS647" s="112" t="n">
        <f aca="false">O82</f>
        <v>1</v>
      </c>
      <c r="AT647" s="112" t="n">
        <f aca="true">OFFSET(CostSkill,AS647,0)-OFFSET(CostSkill,N82,0)</f>
        <v>200</v>
      </c>
      <c r="AU647" s="112" t="str">
        <f aca="false">P82</f>
        <v>C</v>
      </c>
      <c r="AV647" s="112" t="n">
        <f aca="false">AV646+IF(AND(AR647&lt;&gt;" ",AS647&gt;0),1,0)</f>
        <v>7</v>
      </c>
      <c r="AW647" s="324" t="n">
        <f aca="false">IF($BY647&lt;=AW$615,MATCH(BY647,AV$617:AV$763,0))</f>
        <v>0</v>
      </c>
      <c r="AX647" s="327" t="str">
        <f aca="false">IF(Discipline1&lt;&gt;"",HLOOKUP(Discipline1,knackfordic,BY644)," ")</f>
        <v>Listen</v>
      </c>
      <c r="AY647" s="329" t="n">
        <f aca="false">MATCH(AX647,Talents!G$3:G$210)</f>
        <v>115</v>
      </c>
      <c r="AZ647" s="329" t="str">
        <f aca="true">IF(AY647,OFFSET(Talents!H$2,Build!AY647,0)," ")</f>
        <v>Search</v>
      </c>
      <c r="BA647" s="112" t="str">
        <f aca="true">IF(AY647,OFFSET(Talents!J$2,Build!AY647,0)," ")</f>
        <v>2*</v>
      </c>
      <c r="BB647" s="112" t="n">
        <f aca="true">IF(AY647,OFFSET(Talents!I$2,Build!AY647,0)," ")</f>
        <v>5</v>
      </c>
      <c r="BC647" s="112" t="n">
        <f aca="true">IF(AY647,OFFSET(Talents!K$2,Build!AY647,0)," ")</f>
        <v>2100</v>
      </c>
      <c r="BD647" s="112" t="n">
        <f aca="true">IF(AX$663=" ",OFFSET(E$615,MATCH(AZ647,D$616:D$656,0),0),IF(ISERROR(MATCH(AZ647,D$657:D$697,0)),OFFSET(E$615,MATCH(AZ647,D$616:D$656,0),0),IF(OFFSET(E$615,MATCH(AZ647,D$616:D$656,0),0)&gt;OFFSET(E$656,MATCH(AZ647,D$657:D$697,0),0),OFFSET(E$615,MATCH(AZ647,D$616:D$656,0),0),OFFSET(E$656,MATCH(AZ647,D$657:D$697,0),0))))</f>
        <v>8</v>
      </c>
      <c r="BE647" s="112" t="n">
        <f aca="false">BE646+IF(ISERROR(BD647), 0, IF(BD647&gt;=BB647, 1, 0))</f>
        <v>18</v>
      </c>
      <c r="BF647" s="324" t="n">
        <f aca="false">IF($BY647&lt;=BF$615,MATCH(BY647,BE$617:BE$681,0))</f>
        <v>0</v>
      </c>
      <c r="BG647" s="42"/>
      <c r="BH647" s="42"/>
      <c r="BJ647" s="327" t="str">
        <f aca="false">IF(P210&lt;&gt;"",M210," ")</f>
        <v> </v>
      </c>
      <c r="BK647" s="112" t="n">
        <f aca="false">IF(P210="",0,Q210)</f>
        <v>0</v>
      </c>
      <c r="BL647" s="112" t="n">
        <f aca="false">BL646+IF(BJ647&lt;&gt;" ",BK647,0)</f>
        <v>2</v>
      </c>
      <c r="BM647" s="112" t="n">
        <f aca="false">R210</f>
        <v>1</v>
      </c>
      <c r="BN647" s="112" t="n">
        <f aca="false">BN646+IF(BJ647&lt;&gt;" ",BM647,0)</f>
        <v>0</v>
      </c>
      <c r="BO647" s="329" t="str">
        <f aca="false">BO648&amp;IF(BJ647&lt;&gt;" ",", "&amp;BJ647&amp;" ("&amp;BK647&amp;")","")</f>
        <v>, Karma (3), Horror Fend (3)</v>
      </c>
      <c r="BP647" s="327" t="n">
        <f aca="false">BP646+IF(BJ647&lt;&gt;" ",1,0)</f>
        <v>1</v>
      </c>
      <c r="BQ647" s="332"/>
      <c r="BY647" s="333" t="n">
        <f aca="false">BY646+1</f>
        <v>31</v>
      </c>
      <c r="BZ647" s="329" t="str">
        <f aca="false">H249</f>
        <v>Gloves, Leather</v>
      </c>
      <c r="CA647" s="112" t="n">
        <f aca="false">K249</f>
        <v>0</v>
      </c>
      <c r="CB647" s="112" t="n">
        <f aca="false">L249</f>
        <v>2</v>
      </c>
      <c r="CC647" s="112" t="s">
        <v>301</v>
      </c>
      <c r="CD647" s="329" t="n">
        <f aca="false">FIND(",",BZ647)</f>
        <v>7</v>
      </c>
      <c r="CE647" s="329" t="str">
        <f aca="false">IF(ISERROR(CD647),BZ647,MID(BZ647,CD647+2,20)&amp;" "&amp;LEFT(BZ647,CD647-1))&amp;IF(ISERROR(VALUE(CA647)),"",IF(CA647&gt;1," ("&amp;CA647&amp;")",""))</f>
        <v>Leather Gloves</v>
      </c>
      <c r="CF647" s="329" t="str">
        <f aca="false">IF(CC647=" "," ",IF(ISERROR(VALUE(CA647)),CC647,CA647*CC647))</f>
        <v> </v>
      </c>
      <c r="CG647" s="112" t="n">
        <f aca="false">CG646+IF(AND(BZ647&lt;&gt;0,CA647&lt;&gt;0),1,0)</f>
        <v>3</v>
      </c>
      <c r="CH647" s="112" t="n">
        <f aca="false">IF($BY647&lt;=CH$615,MATCH($BY647,CG$617:CG$863,0))</f>
        <v>0</v>
      </c>
    </row>
    <row r="648" s="32" customFormat="true" ht="12.8" hidden="false" customHeight="false" outlineLevel="0" collapsed="false">
      <c r="B648" s="279" t="n">
        <v>12</v>
      </c>
      <c r="C648" s="67" t="n">
        <f aca="false">AQ49</f>
        <v>0</v>
      </c>
      <c r="D648" s="67" t="n">
        <f aca="false">IF(RIGHT(C648, 3)="(D)",LEFT(C648,LEN(C648)-4),C648)</f>
        <v>0</v>
      </c>
      <c r="E648" s="64" t="n">
        <f aca="false">F49</f>
        <v>0</v>
      </c>
      <c r="F648" s="182" t="n">
        <f aca="true">OFFSET(Cost_9_12,E648,0)</f>
        <v>0</v>
      </c>
      <c r="G648" s="64" t="e">
        <f aca="false">IF(C648&lt;&gt;" ",MATCH(D648,Talents!B$3:B$345,1),0)</f>
        <v>#N/A</v>
      </c>
      <c r="H648" s="64" t="e">
        <f aca="true">IF(G648=0," ",OFFSET(Talents!C$2,G648,0))</f>
        <v>#N/A</v>
      </c>
      <c r="I648" s="64" t="n">
        <f aca="false">IF(E648&gt;0,G49,0)</f>
        <v>0</v>
      </c>
      <c r="J648" s="64" t="e">
        <f aca="false">IF(H648&lt;&gt;" ",E648+VLOOKUP(H648,G$597:L$603,6,0)+I648," ")</f>
        <v>#N/A</v>
      </c>
      <c r="K648" s="64" t="e">
        <f aca="true">IF(J648&lt;&gt;" ",OFFSET(ActionDice,J648,0),"-")</f>
        <v>#N/A</v>
      </c>
      <c r="L648" s="67" t="n">
        <f aca="false">OR(RIGHT(C648, 3)="(D)", NOT(ISERROR(MATCH(D648&amp;" (D)", C$657:C$697, 0))))</f>
        <v>0</v>
      </c>
      <c r="M648" s="64" t="e">
        <f aca="true">IF(G648&gt;0,IF(L648,"D",OFFSET(Talents!D$2,G648,0))&amp;OFFSET(Talents!E$2,G648,0)," ")</f>
        <v>#N/A</v>
      </c>
      <c r="N648" s="64" t="n">
        <f aca="false">AND(I49="",C648&lt;&gt;" ")</f>
        <v>0</v>
      </c>
      <c r="O648" s="300" t="n">
        <f aca="false">O647+IF(N647,1,0)</f>
        <v>18</v>
      </c>
      <c r="P648" s="324" t="n">
        <f aca="false">IF(Build!$BY648&lt;=Build!P$615,MATCH(Build!$BY648,Build!O$617:O$714,0))</f>
        <v>0</v>
      </c>
      <c r="Q648" s="112" t="n">
        <f aca="false">Q647+IF(E221&lt;&gt;"",1,0)</f>
        <v>1</v>
      </c>
      <c r="R648" s="324"/>
      <c r="S648" s="112" t="n">
        <f aca="false">S647+IF(E146&lt;&gt;"",1,0)</f>
        <v>2</v>
      </c>
      <c r="T648" s="112"/>
      <c r="U648" s="300" t="n">
        <f aca="false">U647+IF(H394&lt;&gt;"",1,0)</f>
        <v>0</v>
      </c>
      <c r="V648" s="112" t="n">
        <f aca="false">V647+IF(H426&lt;&gt;"",1,0)</f>
        <v>0</v>
      </c>
      <c r="W648" s="112" t="n">
        <f aca="false">W647+IF(H458&lt;&gt;"",1,0)</f>
        <v>0</v>
      </c>
      <c r="X648" s="112" t="n">
        <f aca="false">X647+IF(H490&lt;&gt;"",1,0)</f>
        <v>0</v>
      </c>
      <c r="Y648" s="112" t="n">
        <f aca="false">Y647+IF(H522&lt;&gt;"",1,0)</f>
        <v>0</v>
      </c>
      <c r="Z648" s="112" t="n">
        <f aca="false">Z647+IF($H554&lt;&gt;"",1,0)</f>
        <v>0</v>
      </c>
      <c r="AA648" s="300" t="n">
        <f aca="false">IF($BY648&lt;=U$615,MATCH($BY648,U$617:U$737,0))</f>
        <v>0</v>
      </c>
      <c r="AB648" s="112" t="n">
        <f aca="false">IF($BY648&lt;=V$615,MATCH($BY648,V$617:V$737,0))</f>
        <v>0</v>
      </c>
      <c r="AC648" s="112" t="n">
        <f aca="false">IF($BY648&lt;=W$615,MATCH($BY648,W$617:W$737,0))</f>
        <v>0</v>
      </c>
      <c r="AD648" s="112" t="n">
        <f aca="false">IF($BY648&lt;=X$615,MATCH($BY648,X$617:X$737,0))</f>
        <v>0</v>
      </c>
      <c r="AE648" s="112" t="n">
        <f aca="false">IF($BY648&lt;=Y$615,MATCH($BY648,Y$617:Y$737,0))</f>
        <v>0</v>
      </c>
      <c r="AF648" s="324" t="n">
        <f aca="false">IF($BY648&lt;=Z$615,MATCH($BY648,Z$617:Z$737,0))</f>
        <v>0</v>
      </c>
      <c r="AG648" s="325" t="str">
        <f aca="true">IF(AND(AA648&lt;="",AP39=""),OFFSET(Spells!H$2,AA648,0),"")</f>
        <v>Effect</v>
      </c>
      <c r="AH648" s="325" t="str">
        <f aca="true">IF(AND(AB648&lt;="",AP39=""),OFFSET(Spells!R$2,AB648,0),"")</f>
        <v>Effect</v>
      </c>
      <c r="AI648" s="325" t="str">
        <f aca="true">IF(AND(AC648&lt;="",AP39=""),OFFSET(Spells!AB$2,AC648,0),"")</f>
        <v>Effect</v>
      </c>
      <c r="AJ648" s="326" t="str">
        <f aca="true">IF(AND(AD648&lt;="",AP39=""),OFFSET(Spells!AL$2,AD648,0),"")</f>
        <v>Effect</v>
      </c>
      <c r="AK648" s="326" t="str">
        <f aca="true">IF(AND(AE648&lt;="",AP39=""),OFFSET(Spells!AV$2,AE648,0),"")</f>
        <v>Effect</v>
      </c>
      <c r="AL648" s="325" t="str">
        <f aca="true">IF(AND(AF648&lt;="",AP39=""),OFFSET(Spells!$H$2,AF648,0),"")</f>
        <v>Effect</v>
      </c>
      <c r="AM648" s="327" t="str">
        <f aca="false">IF(G67&lt;&gt;"",G67," ")</f>
        <v> </v>
      </c>
      <c r="AN648" s="112" t="n">
        <f aca="false">IF(AM648&gt;0, I67, 0)</f>
        <v>0</v>
      </c>
      <c r="AO648" s="112" t="n">
        <f aca="true">OFFSET(Cost_9_12,AN648,0)</f>
        <v>0</v>
      </c>
      <c r="AP648" s="112" t="n">
        <f aca="false">AP647+IF(AND(AM648&lt;&gt;" ",AN648&gt;0),1,0)</f>
        <v>5</v>
      </c>
      <c r="AQ648" s="324"/>
      <c r="AR648" s="327" t="str">
        <f aca="false">K83&amp;IF(Q83&lt;&gt;""," ("&amp;Q83&amp;")","")</f>
        <v>Air Sailing</v>
      </c>
      <c r="AS648" s="112" t="n">
        <f aca="false">O83</f>
        <v>0</v>
      </c>
      <c r="AT648" s="112" t="n">
        <f aca="true">OFFSET(CostSkill,AS648,0)-OFFSET(CostSkill,N83,0)</f>
        <v>0</v>
      </c>
      <c r="AU648" s="112" t="str">
        <f aca="false">P83</f>
        <v>W</v>
      </c>
      <c r="AV648" s="112" t="n">
        <f aca="false">AV647+IF(AND(AR648&lt;&gt;" ",AS648&gt;0),1,0)</f>
        <v>7</v>
      </c>
      <c r="AW648" s="324" t="n">
        <f aca="false">IF($BY648&lt;=AW$615,MATCH(BY648,AV$617:AV$763,0))</f>
        <v>0</v>
      </c>
      <c r="AX648" s="327" t="str">
        <f aca="false">IF(Discipline1&lt;&gt;"",HLOOKUP(Discipline1,knackfordic,BY645)," ")</f>
        <v>Mastermind's Plan</v>
      </c>
      <c r="AY648" s="329" t="n">
        <f aca="false">MATCH(AX648,Talents!G$3:G$210)</f>
        <v>120</v>
      </c>
      <c r="AZ648" s="329" t="str">
        <f aca="true">IF(AY648,OFFSET(Talents!H$2,Build!AY648,0)," ")</f>
        <v>Safe Path</v>
      </c>
      <c r="BA648" s="112" t="n">
        <f aca="true">IF(AY648,OFFSET(Talents!J$2,Build!AY648,0)," ")</f>
        <v>5</v>
      </c>
      <c r="BB648" s="112" t="n">
        <f aca="true">IF(AY648,OFFSET(Talents!I$2,Build!AY648,0)," ")</f>
        <v>7</v>
      </c>
      <c r="BC648" s="112" t="n">
        <f aca="true">IF(AY648,OFFSET(Talents!K$2,Build!AY648,0)," ")</f>
        <v>8900</v>
      </c>
      <c r="BD648" s="112" t="e">
        <f aca="true">IF(AX$663=" ",OFFSET(E$615,MATCH(AZ648,D$616:D$656,0),0),IF(ISERROR(MATCH(AZ648,D$657:D$697,0)),OFFSET(E$615,MATCH(AZ648,D$616:D$656,0),0),IF(OFFSET(E$615,MATCH(AZ648,D$616:D$656,0),0)&gt;OFFSET(E$656,MATCH(AZ648,D$657:D$697,0),0),OFFSET(E$615,MATCH(AZ648,D$616:D$656,0),0),OFFSET(E$656,MATCH(AZ648,D$657:D$697,0),0))))</f>
        <v>#N/A</v>
      </c>
      <c r="BE648" s="112" t="n">
        <f aca="false">BE647+IF(ISERROR(BD648), 0, IF(BD648&gt;=BB648, 1, 0))</f>
        <v>18</v>
      </c>
      <c r="BF648" s="324" t="n">
        <f aca="false">IF($BY648&lt;=BF$615,MATCH(BY648,BE$617:BE$681,0))</f>
        <v>0</v>
      </c>
      <c r="BG648" s="42"/>
      <c r="BH648" s="42"/>
      <c r="BJ648" s="327" t="str">
        <f aca="false">IF(P211&lt;&gt;"",M211," ")</f>
        <v> </v>
      </c>
      <c r="BK648" s="112" t="n">
        <f aca="false">IF(P211="",0,Q211)</f>
        <v>0</v>
      </c>
      <c r="BL648" s="112" t="n">
        <f aca="false">BL647+IF(BJ648&lt;&gt;" ",BK648,0)</f>
        <v>2</v>
      </c>
      <c r="BM648" s="112" t="n">
        <f aca="false">R211</f>
        <v>3</v>
      </c>
      <c r="BN648" s="112" t="n">
        <f aca="false">BN647+IF(BJ648&lt;&gt;" ",BM648,0)</f>
        <v>0</v>
      </c>
      <c r="BO648" s="329" t="str">
        <f aca="false">BO649&amp;IF(BJ648&lt;&gt;" ",", "&amp;BJ648&amp;" ("&amp;BK648&amp;")","")</f>
        <v>, Karma (3), Horror Fend (3)</v>
      </c>
      <c r="BP648" s="327" t="n">
        <f aca="false">BP647+IF(BJ648&lt;&gt;" ",1,0)</f>
        <v>1</v>
      </c>
      <c r="BQ648" s="332"/>
      <c r="BY648" s="333" t="n">
        <f aca="false">BY647+1</f>
        <v>32</v>
      </c>
      <c r="BZ648" s="329" t="str">
        <f aca="false">H250</f>
        <v>Gloves, Quiet Fingers</v>
      </c>
      <c r="CA648" s="112" t="n">
        <f aca="false">K250</f>
        <v>0</v>
      </c>
      <c r="CB648" s="112" t="n">
        <f aca="false">L250</f>
        <v>140</v>
      </c>
      <c r="CC648" s="112" t="s">
        <v>301</v>
      </c>
      <c r="CD648" s="329" t="n">
        <f aca="false">FIND(",",BZ648)</f>
        <v>7</v>
      </c>
      <c r="CE648" s="329" t="str">
        <f aca="false">IF(ISERROR(CD648),BZ648,MID(BZ648,CD648+2,20)&amp;" "&amp;LEFT(BZ648,CD648-1))&amp;IF(ISERROR(VALUE(CA648)),"",IF(CA648&gt;1," ("&amp;CA648&amp;")",""))</f>
        <v>Quiet Fingers Gloves</v>
      </c>
      <c r="CF648" s="329" t="str">
        <f aca="false">IF(CC648=" "," ",IF(ISERROR(VALUE(CA648)),CC648,CA648*CC648))</f>
        <v> </v>
      </c>
      <c r="CG648" s="112" t="n">
        <f aca="false">CG647+IF(AND(BZ648&lt;&gt;0,CA648&lt;&gt;0),1,0)</f>
        <v>3</v>
      </c>
      <c r="CH648" s="112" t="n">
        <f aca="false">IF($BY648&lt;=CH$615,MATCH($BY648,CG$617:CG$863,0))</f>
        <v>0</v>
      </c>
    </row>
    <row r="649" s="32" customFormat="true" ht="12.8" hidden="false" customHeight="false" outlineLevel="0" collapsed="false">
      <c r="B649" s="279" t="n">
        <v>13</v>
      </c>
      <c r="C649" s="67" t="str">
        <f aca="false">IF(Circle1&gt;=$B649,HLOOKUP(Discipline1,talentfordisc,1+BY650,0)," ")</f>
        <v> </v>
      </c>
      <c r="D649" s="67" t="str">
        <f aca="false">IF(RIGHT(C649, 3)="(D)",LEFT(C649,LEN(C649)-4),C649)</f>
        <v> </v>
      </c>
      <c r="E649" s="64" t="n">
        <f aca="false">F50</f>
        <v>0</v>
      </c>
      <c r="F649" s="182" t="n">
        <f aca="true">OFFSET(Cost_13_15,E649,0)</f>
        <v>0</v>
      </c>
      <c r="G649" s="64" t="n">
        <f aca="false">IF(C649&lt;&gt;" ",MATCH(D649,Talents!B$3:B$345,1),0)</f>
        <v>0</v>
      </c>
      <c r="H649" s="64" t="str">
        <f aca="true">IF(G649=0," ",OFFSET(Talents!C$2,G649,0))</f>
        <v> </v>
      </c>
      <c r="I649" s="64" t="n">
        <f aca="false">IF(E649&gt;0,G50,0)</f>
        <v>0</v>
      </c>
      <c r="J649" s="64" t="str">
        <f aca="false">IF(H649&lt;&gt;" ",E649+VLOOKUP(H649,G$597:L$603,6,0)+I649," ")</f>
        <v> </v>
      </c>
      <c r="K649" s="64" t="str">
        <f aca="true">IF(J649&lt;&gt;" ",OFFSET(ActionDice,J649,0),"-")</f>
        <v>-</v>
      </c>
      <c r="L649" s="67" t="n">
        <f aca="false">OR(RIGHT(C649, 3)="(D)", NOT(ISERROR(MATCH(D649&amp;" (D)", C$657:C$697, 0))))</f>
        <v>0</v>
      </c>
      <c r="M649" s="64" t="str">
        <f aca="true">IF(G649&gt;0,IF(L649,"D",OFFSET(Talents!D$2,G649,0))&amp;OFFSET(Talents!E$2,G649,0)," ")</f>
        <v> </v>
      </c>
      <c r="N649" s="64" t="n">
        <f aca="false">AND(I50="",C649&lt;&gt;" ")</f>
        <v>0</v>
      </c>
      <c r="O649" s="300" t="n">
        <f aca="false">O648+IF(N648,1,0)</f>
        <v>18</v>
      </c>
      <c r="P649" s="324" t="n">
        <f aca="false">IF(Build!$BY649&lt;=Build!P$615,MATCH(Build!$BY649,Build!O$617:O$714,0))</f>
        <v>0</v>
      </c>
      <c r="Q649" s="112" t="n">
        <f aca="false">Q648+IF(E222&lt;&gt;"",1,0)</f>
        <v>1</v>
      </c>
      <c r="R649" s="324"/>
      <c r="S649" s="112" t="n">
        <f aca="false">S648+IF(E147&lt;&gt;"",1,0)</f>
        <v>2</v>
      </c>
      <c r="T649" s="112"/>
      <c r="U649" s="300" t="n">
        <f aca="false">U648+IF(H395&lt;&gt;"",1,0)</f>
        <v>0</v>
      </c>
      <c r="V649" s="112" t="n">
        <f aca="false">V648+IF(H427&lt;&gt;"",1,0)</f>
        <v>0</v>
      </c>
      <c r="W649" s="112" t="n">
        <f aca="false">W648+IF(H459&lt;&gt;"",1,0)</f>
        <v>0</v>
      </c>
      <c r="X649" s="112" t="n">
        <f aca="false">X648+IF(H491&lt;&gt;"",1,0)</f>
        <v>0</v>
      </c>
      <c r="Y649" s="112" t="n">
        <f aca="false">Y648+IF(H523&lt;&gt;"",1,0)</f>
        <v>0</v>
      </c>
      <c r="Z649" s="112" t="n">
        <f aca="false">Z648+IF($H555&lt;&gt;"",1,0)</f>
        <v>0</v>
      </c>
      <c r="AA649" s="300" t="n">
        <f aca="false">IF($BY649&lt;=U$615,MATCH($BY649,U$617:U$737,0))</f>
        <v>0</v>
      </c>
      <c r="AB649" s="112" t="n">
        <f aca="false">IF($BY649&lt;=V$615,MATCH($BY649,V$617:V$737,0))</f>
        <v>0</v>
      </c>
      <c r="AC649" s="112" t="n">
        <f aca="false">IF($BY649&lt;=W$615,MATCH($BY649,W$617:W$737,0))</f>
        <v>0</v>
      </c>
      <c r="AD649" s="112" t="n">
        <f aca="false">IF($BY649&lt;=X$615,MATCH($BY649,X$617:X$737,0))</f>
        <v>0</v>
      </c>
      <c r="AE649" s="112" t="n">
        <f aca="false">IF($BY649&lt;=Y$615,MATCH($BY649,Y$617:Y$737,0))</f>
        <v>0</v>
      </c>
      <c r="AF649" s="324" t="n">
        <f aca="false">IF($BY649&lt;=Z$615,MATCH($BY649,Z$617:Z$737,0))</f>
        <v>0</v>
      </c>
      <c r="AG649" s="325" t="str">
        <f aca="true">IF(AND(AA649&lt;="",AP40=""),OFFSET(Spells!H$2,AA649,0),"")</f>
        <v>Effect</v>
      </c>
      <c r="AH649" s="325" t="str">
        <f aca="true">IF(AND(AB649&lt;="",AP40=""),OFFSET(Spells!R$2,AB649,0),"")</f>
        <v>Effect</v>
      </c>
      <c r="AI649" s="325" t="str">
        <f aca="true">IF(AND(AC649&lt;="",AP40=""),OFFSET(Spells!AB$2,AC649,0),"")</f>
        <v>Effect</v>
      </c>
      <c r="AJ649" s="326" t="str">
        <f aca="true">IF(AND(AD649&lt;="",AP40=""),OFFSET(Spells!AL$2,AD649,0),"")</f>
        <v>Effect</v>
      </c>
      <c r="AK649" s="326" t="str">
        <f aca="true">IF(AND(AE649&lt;="",AP40=""),OFFSET(Spells!AV$2,AE649,0),"")</f>
        <v>Effect</v>
      </c>
      <c r="AL649" s="325" t="str">
        <f aca="true">IF(AND(AF649&lt;="",AP40=""),OFFSET(Spells!$H$2,AF649,0),"")</f>
        <v>Effect</v>
      </c>
      <c r="AM649" s="327" t="str">
        <f aca="false">IF(G68&lt;&gt;"",G68," ")</f>
        <v> </v>
      </c>
      <c r="AN649" s="112" t="n">
        <f aca="false">IF(AM649&gt;0, I68, 0)</f>
        <v>0</v>
      </c>
      <c r="AO649" s="112" t="n">
        <f aca="true">OFFSET(Cost_9_12,AN649,0)</f>
        <v>0</v>
      </c>
      <c r="AP649" s="112" t="n">
        <f aca="false">AP648+IF(AND(AM649&lt;&gt;" ",AN649&gt;0),1,0)</f>
        <v>5</v>
      </c>
      <c r="AQ649" s="324"/>
      <c r="AR649" s="327" t="str">
        <f aca="false">K84&amp;IF(Q84&lt;&gt;""," ("&amp;Q84&amp;")","")</f>
        <v>Alchemy</v>
      </c>
      <c r="AS649" s="112" t="n">
        <f aca="false">O84</f>
        <v>0</v>
      </c>
      <c r="AT649" s="112" t="n">
        <f aca="true">OFFSET(CostSkill,AS649,0)-OFFSET(CostSkill,N84,0)</f>
        <v>0</v>
      </c>
      <c r="AU649" s="112" t="str">
        <f aca="false">P84</f>
        <v>P</v>
      </c>
      <c r="AV649" s="112" t="n">
        <f aca="false">AV648+IF(AND(AR649&lt;&gt;" ",AS649&gt;0),1,0)</f>
        <v>7</v>
      </c>
      <c r="AW649" s="324" t="n">
        <f aca="false">IF($BY649&lt;=AW$615,MATCH(BY649,AV$617:AV$763,0))</f>
        <v>0</v>
      </c>
      <c r="AX649" s="327" t="str">
        <f aca="false">IF(Discipline1&lt;&gt;"",HLOOKUP(Discipline1,knackfordic,BY646)," ")</f>
        <v>Mountain Hoof</v>
      </c>
      <c r="AY649" s="329" t="n">
        <f aca="false">MATCH(AX649,Talents!G$3:G$210)</f>
        <v>127</v>
      </c>
      <c r="AZ649" s="329" t="str">
        <f aca="true">IF(AY649,OFFSET(Talents!H$2,Build!AY649,0)," ")</f>
        <v>Trick Riding</v>
      </c>
      <c r="BA649" s="112" t="str">
        <f aca="true">IF(AY649,OFFSET(Talents!J$2,Build!AY649,0)," ")</f>
        <v>2/rnd*</v>
      </c>
      <c r="BB649" s="112" t="n">
        <f aca="true">IF(AY649,OFFSET(Talents!I$2,Build!AY649,0)," ")</f>
        <v>6</v>
      </c>
      <c r="BC649" s="112" t="n">
        <f aca="true">IF(AY649,OFFSET(Talents!K$2,Build!AY649,0)," ")</f>
        <v>3400</v>
      </c>
      <c r="BD649" s="112" t="e">
        <f aca="true">IF(AX$663=" ",OFFSET(E$615,MATCH(AZ649,D$616:D$656,0),0),IF(ISERROR(MATCH(AZ649,D$657:D$697,0)),OFFSET(E$615,MATCH(AZ649,D$616:D$656,0),0),IF(OFFSET(E$615,MATCH(AZ649,D$616:D$656,0),0)&gt;OFFSET(E$656,MATCH(AZ649,D$657:D$697,0),0),OFFSET(E$615,MATCH(AZ649,D$616:D$656,0),0),OFFSET(E$656,MATCH(AZ649,D$657:D$697,0),0))))</f>
        <v>#N/A</v>
      </c>
      <c r="BE649" s="112" t="n">
        <f aca="false">BE648+IF(ISERROR(BD649), 0, IF(BD649&gt;=BB649, 1, 0))</f>
        <v>18</v>
      </c>
      <c r="BF649" s="324" t="n">
        <f aca="false">IF($BY649&lt;=BF$615,MATCH(BY649,BE$617:BE$681,0))</f>
        <v>0</v>
      </c>
      <c r="BG649" s="42"/>
      <c r="BH649" s="42"/>
      <c r="BJ649" s="327" t="str">
        <f aca="false">IF(P212&lt;&gt;"",M212," ")</f>
        <v> </v>
      </c>
      <c r="BK649" s="112" t="n">
        <f aca="false">IF(P212="",0,Q212)</f>
        <v>0</v>
      </c>
      <c r="BL649" s="112" t="n">
        <f aca="false">BL648+IF(BJ649&lt;&gt;" ",BK649,0)</f>
        <v>2</v>
      </c>
      <c r="BM649" s="112" t="n">
        <f aca="false">R212</f>
        <v>0</v>
      </c>
      <c r="BN649" s="112" t="n">
        <f aca="false">BN648+IF(BJ649&lt;&gt;" ",BM649,0)</f>
        <v>0</v>
      </c>
      <c r="BO649" s="329" t="str">
        <f aca="false">BO650&amp;IF(BJ649&lt;&gt;" ",", "&amp;BJ649&amp;" ("&amp;BK649&amp;")","")</f>
        <v>, Karma (3), Horror Fend (3)</v>
      </c>
      <c r="BP649" s="327" t="n">
        <f aca="false">BP648+IF(BJ649&lt;&gt;" ",1,0)</f>
        <v>1</v>
      </c>
      <c r="BQ649" s="332"/>
      <c r="BY649" s="333" t="n">
        <f aca="false">BY648+1</f>
        <v>33</v>
      </c>
      <c r="BZ649" s="329" t="str">
        <f aca="false">N235</f>
        <v>Hat, Felt</v>
      </c>
      <c r="CA649" s="112" t="n">
        <f aca="false">Q235</f>
        <v>0</v>
      </c>
      <c r="CB649" s="112" t="n">
        <f aca="false">R235</f>
        <v>0.4</v>
      </c>
      <c r="CC649" s="112" t="s">
        <v>301</v>
      </c>
      <c r="CD649" s="329" t="n">
        <f aca="false">FIND(",",BZ649)</f>
        <v>4</v>
      </c>
      <c r="CE649" s="329" t="str">
        <f aca="false">IF(ISERROR(CD649),BZ649,MID(BZ649,CD649+2,20)&amp;" "&amp;LEFT(BZ649,CD649-1))&amp;IF(ISERROR(VALUE(CA649)),"",IF(CA649&gt;1," ("&amp;CA649&amp;")",""))</f>
        <v>Felt Hat</v>
      </c>
      <c r="CF649" s="329" t="str">
        <f aca="false">IF(CC649=" "," ",IF(ISERROR(VALUE(CA649)),CC649,CA649*CC649))</f>
        <v> </v>
      </c>
      <c r="CG649" s="112" t="n">
        <f aca="false">CG648+IF(AND(BZ649&lt;&gt;0,CA649&lt;&gt;0),1,0)</f>
        <v>3</v>
      </c>
      <c r="CH649" s="112" t="n">
        <f aca="false">IF($BY649&lt;=CH$615,MATCH($BY649,CG$617:CG$863,0))</f>
        <v>0</v>
      </c>
    </row>
    <row r="650" s="32" customFormat="true" ht="12.8" hidden="false" customHeight="false" outlineLevel="0" collapsed="false">
      <c r="B650" s="279" t="n">
        <v>13</v>
      </c>
      <c r="C650" s="67" t="n">
        <f aca="false">AQ51</f>
        <v>0</v>
      </c>
      <c r="D650" s="67" t="n">
        <f aca="false">IF(RIGHT(C650, 3)="(D)",LEFT(C650,LEN(C650)-4),C650)</f>
        <v>0</v>
      </c>
      <c r="E650" s="64" t="n">
        <f aca="false">F51</f>
        <v>0</v>
      </c>
      <c r="F650" s="182" t="n">
        <f aca="true">OFFSET(Cost_13_15,E650,0)</f>
        <v>0</v>
      </c>
      <c r="G650" s="64" t="e">
        <f aca="false">IF(C650&lt;&gt;" ",MATCH(D650,Talents!B$3:B$345,1),0)</f>
        <v>#N/A</v>
      </c>
      <c r="H650" s="64" t="e">
        <f aca="true">IF(G650=0," ",OFFSET(Talents!C$2,G650,0))</f>
        <v>#N/A</v>
      </c>
      <c r="I650" s="64" t="n">
        <f aca="false">IF(E650&gt;0,G51,0)</f>
        <v>0</v>
      </c>
      <c r="J650" s="64" t="e">
        <f aca="false">IF(H650&lt;&gt;" ",E650+VLOOKUP(H650,G$597:L$603,6,0)+I650," ")</f>
        <v>#N/A</v>
      </c>
      <c r="K650" s="64" t="e">
        <f aca="true">IF(J650&lt;&gt;" ",OFFSET(ActionDice,J650,0),"-")</f>
        <v>#N/A</v>
      </c>
      <c r="L650" s="67" t="n">
        <f aca="false">OR(RIGHT(C650, 3)="(D)", NOT(ISERROR(MATCH(D650&amp;" (D)", C$657:C$697, 0))))</f>
        <v>0</v>
      </c>
      <c r="M650" s="64" t="e">
        <f aca="true">IF(G650&gt;0,IF(L650,"D",OFFSET(Talents!D$2,G650,0))&amp;OFFSET(Talents!E$2,G650,0)," ")</f>
        <v>#N/A</v>
      </c>
      <c r="N650" s="64" t="n">
        <f aca="false">AND(I51="",C650&lt;&gt;" ")</f>
        <v>0</v>
      </c>
      <c r="O650" s="300" t="n">
        <f aca="false">O649+IF(N649,1,0)</f>
        <v>18</v>
      </c>
      <c r="P650" s="324" t="n">
        <f aca="false">IF(Build!$BY650&lt;=Build!P$615,MATCH(Build!$BY650,Build!O$617:O$714,0))</f>
        <v>0</v>
      </c>
      <c r="Q650" s="112" t="n">
        <f aca="false">Q649+IF(E223&lt;&gt;"",1,0)</f>
        <v>1</v>
      </c>
      <c r="R650" s="324"/>
      <c r="S650" s="112" t="n">
        <f aca="false">S649+IF(E148&lt;&gt;"",1,0)</f>
        <v>2</v>
      </c>
      <c r="T650" s="112"/>
      <c r="U650" s="300" t="n">
        <f aca="false">U649+IF(H396&lt;&gt;"",1,0)</f>
        <v>0</v>
      </c>
      <c r="V650" s="112" t="n">
        <f aca="false">V649+IF(H428&lt;&gt;"",1,0)</f>
        <v>0</v>
      </c>
      <c r="W650" s="112" t="n">
        <f aca="false">W649+IF(H460&lt;&gt;"",1,0)</f>
        <v>0</v>
      </c>
      <c r="X650" s="112" t="n">
        <f aca="false">X649+IF(H492&lt;&gt;"",1,0)</f>
        <v>0</v>
      </c>
      <c r="Y650" s="112" t="n">
        <f aca="false">Y649+IF(H524&lt;&gt;"",1,0)</f>
        <v>0</v>
      </c>
      <c r="Z650" s="112" t="n">
        <f aca="false">Z649+IF($H556&lt;&gt;"",1,0)</f>
        <v>0</v>
      </c>
      <c r="AA650" s="300" t="n">
        <f aca="false">IF($BY650&lt;=U$615,MATCH($BY650,U$617:U$737,0))</f>
        <v>0</v>
      </c>
      <c r="AB650" s="112" t="n">
        <f aca="false">IF($BY650&lt;=V$615,MATCH($BY650,V$617:V$737,0))</f>
        <v>0</v>
      </c>
      <c r="AC650" s="112" t="n">
        <f aca="false">IF($BY650&lt;=W$615,MATCH($BY650,W$617:W$737,0))</f>
        <v>0</v>
      </c>
      <c r="AD650" s="112" t="n">
        <f aca="false">IF($BY650&lt;=X$615,MATCH($BY650,X$617:X$737,0))</f>
        <v>0</v>
      </c>
      <c r="AE650" s="112" t="n">
        <f aca="false">IF($BY650&lt;=Y$615,MATCH($BY650,Y$617:Y$737,0))</f>
        <v>0</v>
      </c>
      <c r="AF650" s="324" t="n">
        <f aca="false">IF($BY650&lt;=Z$615,MATCH($BY650,Z$617:Z$737,0))</f>
        <v>0</v>
      </c>
      <c r="AG650" s="325" t="str">
        <f aca="true">IF(AND(AA650&lt;="",AP41=""),OFFSET(Spells!H$2,AA650,0),"")</f>
        <v>Effect</v>
      </c>
      <c r="AH650" s="325" t="str">
        <f aca="true">IF(AND(AB650&lt;="",AP41=""),OFFSET(Spells!R$2,AB650,0),"")</f>
        <v>Effect</v>
      </c>
      <c r="AI650" s="325" t="str">
        <f aca="true">IF(AND(AC650&lt;="",AP41=""),OFFSET(Spells!AB$2,AC650,0),"")</f>
        <v>Effect</v>
      </c>
      <c r="AJ650" s="326" t="str">
        <f aca="true">IF(AND(AD650&lt;="",AP41=""),OFFSET(Spells!AL$2,AD650,0),"")</f>
        <v>Effect</v>
      </c>
      <c r="AK650" s="326" t="str">
        <f aca="true">IF(AND(AE650&lt;="",AP41=""),OFFSET(Spells!AV$2,AE650,0),"")</f>
        <v>Effect</v>
      </c>
      <c r="AL650" s="325" t="str">
        <f aca="true">IF(AND(AF650&lt;="",AP41=""),OFFSET(Spells!$H$2,AF650,0),"")</f>
        <v>Effect</v>
      </c>
      <c r="AM650" s="327" t="str">
        <f aca="false">IF(G69&lt;&gt;"",G69," ")</f>
        <v> </v>
      </c>
      <c r="AN650" s="112" t="n">
        <f aca="false">IF(AM650&gt;0, I69, 0)</f>
        <v>0</v>
      </c>
      <c r="AO650" s="112" t="n">
        <f aca="true">OFFSET(Cost_9_12,AN650,0)</f>
        <v>0</v>
      </c>
      <c r="AP650" s="112" t="n">
        <f aca="false">AP649+IF(AND(AM650&lt;&gt;" ",AN650&gt;0),1,0)</f>
        <v>5</v>
      </c>
      <c r="AQ650" s="324"/>
      <c r="AR650" s="327" t="str">
        <f aca="false">K85&amp;IF(Q85&lt;&gt;""," ("&amp;Q85&amp;")","")</f>
        <v>Animal Bond</v>
      </c>
      <c r="AS650" s="112" t="n">
        <f aca="false">O85</f>
        <v>0</v>
      </c>
      <c r="AT650" s="112" t="n">
        <f aca="true">OFFSET(CostSkill,AS650,0)-OFFSET(CostSkill,N85,0)</f>
        <v>0</v>
      </c>
      <c r="AU650" s="112" t="str">
        <f aca="false">P85</f>
        <v>C</v>
      </c>
      <c r="AV650" s="112" t="n">
        <f aca="false">AV649+IF(AND(AR650&lt;&gt;" ",AS650&gt;0),1,0)</f>
        <v>7</v>
      </c>
      <c r="AW650" s="324" t="n">
        <f aca="false">IF($BY650&lt;=AW$615,MATCH(BY650,AV$617:AV$763,0))</f>
        <v>0</v>
      </c>
      <c r="AX650" s="327" t="str">
        <f aca="false">IF(Discipline1&lt;&gt;"",HLOOKUP(Discipline1,knackfordic,BY647)," ")</f>
        <v>Placed Shot</v>
      </c>
      <c r="AY650" s="329" t="n">
        <f aca="false">MATCH(AX650,Talents!G$3:G$210)</f>
        <v>137</v>
      </c>
      <c r="AZ650" s="329" t="str">
        <f aca="true">IF(AY650,OFFSET(Talents!H$2,Build!AY650,0)," ")</f>
        <v>Missile Weapons</v>
      </c>
      <c r="BA650" s="112" t="str">
        <f aca="true">IF(AY650,OFFSET(Talents!J$2,Build!AY650,0)," ")</f>
        <v>2/attk</v>
      </c>
      <c r="BB650" s="112" t="n">
        <f aca="true">IF(AY650,OFFSET(Talents!I$2,Build!AY650,0)," ")</f>
        <v>5</v>
      </c>
      <c r="BC650" s="112" t="n">
        <f aca="true">IF(AY650,OFFSET(Talents!K$2,Build!AY650,0)," ")</f>
        <v>2100</v>
      </c>
      <c r="BD650" s="112" t="e">
        <f aca="true">IF(AX$663=" ",OFFSET(E$615,MATCH(AZ650,D$616:D$656,0),0),IF(ISERROR(MATCH(AZ650,D$657:D$697,0)),OFFSET(E$615,MATCH(AZ650,D$616:D$656,0),0),IF(OFFSET(E$615,MATCH(AZ650,D$616:D$656,0),0)&gt;OFFSET(E$656,MATCH(AZ650,D$657:D$697,0),0),OFFSET(E$615,MATCH(AZ650,D$616:D$656,0),0),OFFSET(E$656,MATCH(AZ650,D$657:D$697,0),0))))</f>
        <v>#N/A</v>
      </c>
      <c r="BE650" s="112" t="n">
        <f aca="false">BE649+IF(ISERROR(BD650), 0, IF(BD650&gt;=BB650, 1, 0))</f>
        <v>18</v>
      </c>
      <c r="BF650" s="324" t="n">
        <f aca="false">IF($BY650&lt;=BF$615,MATCH(BY650,BE$617:BE$681,0))</f>
        <v>0</v>
      </c>
      <c r="BG650" s="42"/>
      <c r="BJ650" s="327" t="str">
        <f aca="false">IF(P213&lt;&gt;"",M213," ")</f>
        <v> </v>
      </c>
      <c r="BK650" s="112" t="n">
        <f aca="false">IF(P213="",0,Q213)</f>
        <v>0</v>
      </c>
      <c r="BL650" s="112" t="n">
        <f aca="false">BL649+IF(BJ650&lt;&gt;" ",BK650,0)</f>
        <v>2</v>
      </c>
      <c r="BM650" s="112" t="n">
        <f aca="false">R213</f>
        <v>0</v>
      </c>
      <c r="BN650" s="112" t="n">
        <f aca="false">BN649+IF(BJ650&lt;&gt;" ",BM650,0)</f>
        <v>0</v>
      </c>
      <c r="BO650" s="329" t="str">
        <f aca="false">BO651&amp;IF(BJ650&lt;&gt;" ",", "&amp;BJ650&amp;" ("&amp;BK650&amp;")","")</f>
        <v>, Karma (3), Horror Fend (3)</v>
      </c>
      <c r="BP650" s="327" t="n">
        <f aca="false">BP649+IF(BJ650&lt;&gt;" ",1,0)</f>
        <v>1</v>
      </c>
      <c r="BQ650" s="332"/>
      <c r="BY650" s="333" t="n">
        <f aca="false">BY649+1</f>
        <v>34</v>
      </c>
      <c r="BZ650" s="329" t="str">
        <f aca="false">N236</f>
        <v>Hat, Woolen cap</v>
      </c>
      <c r="CA650" s="112" t="n">
        <f aca="false">Q236</f>
        <v>0</v>
      </c>
      <c r="CB650" s="112" t="n">
        <f aca="false">R236</f>
        <v>1.2</v>
      </c>
      <c r="CC650" s="112" t="s">
        <v>301</v>
      </c>
      <c r="CD650" s="329" t="n">
        <f aca="false">FIND(",",BZ650)</f>
        <v>4</v>
      </c>
      <c r="CE650" s="329" t="str">
        <f aca="false">IF(ISERROR(CD650),BZ650,MID(BZ650,CD650+2,20)&amp;" "&amp;LEFT(BZ650,CD650-1))&amp;IF(ISERROR(VALUE(CA650)),"",IF(CA650&gt;1," ("&amp;CA650&amp;")",""))</f>
        <v>Woolen cap Hat</v>
      </c>
      <c r="CF650" s="329" t="str">
        <f aca="false">IF(CC650=" "," ",IF(ISERROR(VALUE(CA650)),CC650,CA650*CC650))</f>
        <v> </v>
      </c>
      <c r="CG650" s="112" t="n">
        <f aca="false">CG649+IF(AND(BZ650&lt;&gt;0,CA650&lt;&gt;0),1,0)</f>
        <v>3</v>
      </c>
      <c r="CH650" s="112" t="n">
        <f aca="false">IF($BY650&lt;=CH$615,MATCH($BY650,CG$617:CG$863,0))</f>
        <v>0</v>
      </c>
    </row>
    <row r="651" s="32" customFormat="true" ht="12.8" hidden="false" customHeight="false" outlineLevel="0" collapsed="false">
      <c r="B651" s="279" t="n">
        <v>13</v>
      </c>
      <c r="C651" s="67" t="n">
        <f aca="false">AQ52</f>
        <v>0</v>
      </c>
      <c r="D651" s="67" t="n">
        <f aca="false">IF(RIGHT(C651, 3)="(D)",LEFT(C651,LEN(C651)-4),C651)</f>
        <v>0</v>
      </c>
      <c r="E651" s="64" t="n">
        <f aca="false">F52</f>
        <v>0</v>
      </c>
      <c r="F651" s="182" t="n">
        <f aca="true">OFFSET(Cost_13_15,E651,0)</f>
        <v>0</v>
      </c>
      <c r="G651" s="64" t="e">
        <f aca="false">IF(C651&lt;&gt;" ",MATCH(D651,Talents!B$3:B$345,1),0)</f>
        <v>#N/A</v>
      </c>
      <c r="H651" s="64" t="e">
        <f aca="true">IF(G651=0," ",OFFSET(Talents!C$2,G651,0))</f>
        <v>#N/A</v>
      </c>
      <c r="I651" s="64" t="n">
        <f aca="false">IF(E651&gt;0,G52,0)</f>
        <v>0</v>
      </c>
      <c r="J651" s="64" t="e">
        <f aca="false">IF(H651&lt;&gt;" ",E651+VLOOKUP(H651,G$597:L$603,6,0)+I651," ")</f>
        <v>#N/A</v>
      </c>
      <c r="K651" s="64" t="e">
        <f aca="true">IF(J651&lt;&gt;" ",OFFSET(ActionDice,J651,0),"-")</f>
        <v>#N/A</v>
      </c>
      <c r="L651" s="67" t="n">
        <f aca="false">OR(RIGHT(C651, 3)="(D)", NOT(ISERROR(MATCH(D651&amp;" (D)", C$657:C$697, 0))))</f>
        <v>0</v>
      </c>
      <c r="M651" s="64" t="e">
        <f aca="true">IF(G651&gt;0,IF(L651,"D",OFFSET(Talents!D$2,G651,0))&amp;OFFSET(Talents!E$2,G651,0)," ")</f>
        <v>#N/A</v>
      </c>
      <c r="N651" s="64" t="n">
        <f aca="false">AND(I52="",C651&lt;&gt;" ")</f>
        <v>0</v>
      </c>
      <c r="O651" s="300" t="n">
        <f aca="false">O650+IF(N650,1,0)</f>
        <v>18</v>
      </c>
      <c r="P651" s="324" t="n">
        <f aca="false">IF(Build!$BY651&lt;=Build!P$615,MATCH(Build!$BY651,Build!O$617:O$714,0))</f>
        <v>0</v>
      </c>
      <c r="Q651" s="112" t="n">
        <f aca="false">Q650+IF(E224&lt;&gt;"",1,0)</f>
        <v>1</v>
      </c>
      <c r="R651" s="324"/>
      <c r="S651" s="112" t="n">
        <f aca="false">S650+IF(E149&lt;&gt;"",1,0)</f>
        <v>2</v>
      </c>
      <c r="T651" s="112"/>
      <c r="U651" s="300" t="n">
        <f aca="false">U650+IF(H397&lt;&gt;"",1,0)</f>
        <v>0</v>
      </c>
      <c r="V651" s="112" t="n">
        <f aca="false">V650+IF(H429&lt;&gt;"",1,0)</f>
        <v>0</v>
      </c>
      <c r="W651" s="112" t="n">
        <f aca="false">W650+IF(H461&lt;&gt;"",1,0)</f>
        <v>0</v>
      </c>
      <c r="X651" s="112" t="n">
        <f aca="false">X650+IF(H493&lt;&gt;"",1,0)</f>
        <v>0</v>
      </c>
      <c r="Y651" s="112" t="n">
        <f aca="false">Y650+IF(H525&lt;&gt;"",1,0)</f>
        <v>0</v>
      </c>
      <c r="Z651" s="112" t="n">
        <f aca="false">Z650+IF($H557&lt;&gt;"",1,0)</f>
        <v>0</v>
      </c>
      <c r="AA651" s="300" t="n">
        <f aca="false">IF($BY651&lt;=U$615,MATCH($BY651,U$617:U$737,0))</f>
        <v>0</v>
      </c>
      <c r="AB651" s="112" t="n">
        <f aca="false">IF($BY651&lt;=V$615,MATCH($BY651,V$617:V$737,0))</f>
        <v>0</v>
      </c>
      <c r="AC651" s="112" t="n">
        <f aca="false">IF($BY651&lt;=W$615,MATCH($BY651,W$617:W$737,0))</f>
        <v>0</v>
      </c>
      <c r="AD651" s="112" t="n">
        <f aca="false">IF($BY651&lt;=X$615,MATCH($BY651,X$617:X$737,0))</f>
        <v>0</v>
      </c>
      <c r="AE651" s="112" t="n">
        <f aca="false">IF($BY651&lt;=Y$615,MATCH($BY651,Y$617:Y$737,0))</f>
        <v>0</v>
      </c>
      <c r="AF651" s="324" t="n">
        <f aca="false">IF($BY651&lt;=Z$615,MATCH($BY651,Z$617:Z$737,0))</f>
        <v>0</v>
      </c>
      <c r="AG651" s="325" t="str">
        <f aca="true">IF(AND(AA651&lt;="",AP42=""),OFFSET(Spells!H$2,AA651,0),"")</f>
        <v>Effect</v>
      </c>
      <c r="AH651" s="325" t="str">
        <f aca="true">IF(AND(AB651&lt;="",AP42=""),OFFSET(Spells!R$2,AB651,0),"")</f>
        <v>Effect</v>
      </c>
      <c r="AI651" s="325" t="str">
        <f aca="true">IF(AND(AC651&lt;="",AP42=""),OFFSET(Spells!AB$2,AC651,0),"")</f>
        <v>Effect</v>
      </c>
      <c r="AJ651" s="326" t="str">
        <f aca="true">IF(AND(AD651&lt;="",AP42=""),OFFSET(Spells!AL$2,AD651,0),"")</f>
        <v>Effect</v>
      </c>
      <c r="AK651" s="326" t="str">
        <f aca="true">IF(AND(AE651&lt;="",AP42=""),OFFSET(Spells!AV$2,AE651,0),"")</f>
        <v>Effect</v>
      </c>
      <c r="AL651" s="325" t="str">
        <f aca="true">IF(AND(AF651&lt;="",AP42=""),OFFSET(Spells!$H$2,AF651,0),"")</f>
        <v>Effect</v>
      </c>
      <c r="AM651" s="327" t="str">
        <f aca="false">IF(G70&lt;&gt;"",G70," ")</f>
        <v> </v>
      </c>
      <c r="AN651" s="112" t="n">
        <f aca="false">IF(AM651&gt;0, I70, 0)</f>
        <v>0</v>
      </c>
      <c r="AO651" s="112" t="n">
        <f aca="true">OFFSET(Cost_9_12,AN651,0)</f>
        <v>0</v>
      </c>
      <c r="AP651" s="112" t="n">
        <f aca="false">AP650+IF(AND(AM651&lt;&gt;" ",AN651&gt;0),1,0)</f>
        <v>5</v>
      </c>
      <c r="AQ651" s="324"/>
      <c r="AR651" s="327" t="str">
        <f aca="false">K86&amp;IF(Q86&lt;&gt;""," ("&amp;Q86&amp;")","")</f>
        <v>Animal Handling</v>
      </c>
      <c r="AS651" s="112" t="n">
        <f aca="false">O86</f>
        <v>0</v>
      </c>
      <c r="AT651" s="112" t="n">
        <f aca="true">OFFSET(CostSkill,AS651,0)-OFFSET(CostSkill,N86,0)</f>
        <v>0</v>
      </c>
      <c r="AU651" s="112" t="str">
        <f aca="false">P86</f>
        <v>W</v>
      </c>
      <c r="AV651" s="112" t="n">
        <f aca="false">AV650+IF(AND(AR651&lt;&gt;" ",AS651&gt;0),1,0)</f>
        <v>7</v>
      </c>
      <c r="AW651" s="324" t="n">
        <f aca="false">IF($BY651&lt;=AW$615,MATCH(BY651,AV$617:AV$763,0))</f>
        <v>0</v>
      </c>
      <c r="AX651" s="327" t="str">
        <f aca="false">IF(Discipline1&lt;&gt;"",HLOOKUP(Discipline1,knackfordic,BY648)," ")</f>
        <v>Plant Prison</v>
      </c>
      <c r="AY651" s="329" t="n">
        <f aca="false">MATCH(AX651,Talents!G$3:G$210)</f>
        <v>139</v>
      </c>
      <c r="AZ651" s="329" t="str">
        <f aca="true">IF(AY651,OFFSET(Talents!H$2,Build!AY651,0)," ")</f>
        <v>Plant Shelter</v>
      </c>
      <c r="BA651" s="112" t="str">
        <f aca="true">IF(AY651,OFFSET(Talents!J$2,Build!AY651,0)," ")</f>
        <v>4*</v>
      </c>
      <c r="BB651" s="112" t="n">
        <f aca="true">IF(AY651,OFFSET(Talents!I$2,Build!AY651,0)," ")</f>
        <v>7</v>
      </c>
      <c r="BC651" s="112" t="n">
        <f aca="true">IF(AY651,OFFSET(Talents!K$2,Build!AY651,0)," ")</f>
        <v>8900</v>
      </c>
      <c r="BD651" s="112" t="e">
        <f aca="true">IF(AX$663=" ",OFFSET(E$615,MATCH(AZ651,D$616:D$656,0),0),IF(ISERROR(MATCH(AZ651,D$657:D$697,0)),OFFSET(E$615,MATCH(AZ651,D$616:D$656,0),0),IF(OFFSET(E$615,MATCH(AZ651,D$616:D$656,0),0)&gt;OFFSET(E$656,MATCH(AZ651,D$657:D$697,0),0),OFFSET(E$615,MATCH(AZ651,D$616:D$656,0),0),OFFSET(E$656,MATCH(AZ651,D$657:D$697,0),0))))</f>
        <v>#N/A</v>
      </c>
      <c r="BE651" s="112" t="n">
        <f aca="false">BE650+IF(ISERROR(BD651), 0, IF(BD651&gt;=BB651, 1, 0))</f>
        <v>18</v>
      </c>
      <c r="BF651" s="324" t="n">
        <f aca="false">IF($BY651&lt;=BF$615,MATCH(BY651,BE$617:BE$681,0))</f>
        <v>0</v>
      </c>
      <c r="BG651" s="42"/>
      <c r="BJ651" s="327" t="str">
        <f aca="false">IF(P214&lt;&gt;"",M214," ")</f>
        <v> </v>
      </c>
      <c r="BK651" s="112" t="n">
        <f aca="false">IF(P214="",0,Q214)</f>
        <v>0</v>
      </c>
      <c r="BL651" s="112" t="n">
        <f aca="false">BL650+IF(BJ651&lt;&gt;" ",BK651,0)</f>
        <v>2</v>
      </c>
      <c r="BM651" s="112" t="n">
        <f aca="false">R214</f>
        <v>0</v>
      </c>
      <c r="BN651" s="112" t="n">
        <f aca="false">BN650+IF(BJ651&lt;&gt;" ",BM651,0)</f>
        <v>0</v>
      </c>
      <c r="BO651" s="329" t="str">
        <f aca="false">BO652&amp;IF(BJ651&lt;&gt;" ",", "&amp;BJ651&amp;" ("&amp;BK651&amp;")","")</f>
        <v>, Karma (3), Horror Fend (3)</v>
      </c>
      <c r="BP651" s="327" t="n">
        <f aca="false">BP650+IF(BJ651&lt;&gt;" ",1,0)</f>
        <v>1</v>
      </c>
      <c r="BQ651" s="332"/>
      <c r="BY651" s="333" t="n">
        <f aca="false">BY650+1</f>
        <v>35</v>
      </c>
      <c r="BZ651" s="329" t="str">
        <f aca="false">N237</f>
        <v>Hat, One-size</v>
      </c>
      <c r="CA651" s="112" t="n">
        <f aca="false">Q237</f>
        <v>0</v>
      </c>
      <c r="CB651" s="112" t="n">
        <f aca="false">R237</f>
        <v>35</v>
      </c>
      <c r="CC651" s="112" t="s">
        <v>301</v>
      </c>
      <c r="CD651" s="329" t="n">
        <f aca="false">FIND(",",BZ651)</f>
        <v>4</v>
      </c>
      <c r="CE651" s="329" t="str">
        <f aca="false">IF(ISERROR(CD651),BZ651,MID(BZ651,CD651+2,20)&amp;" "&amp;LEFT(BZ651,CD651-1))&amp;IF(ISERROR(VALUE(CA651)),"",IF(CA651&gt;1," ("&amp;CA651&amp;")",""))</f>
        <v>One-size Hat</v>
      </c>
      <c r="CF651" s="329" t="str">
        <f aca="false">IF(CC651=" "," ",IF(ISERROR(VALUE(CA651)),CC651,CA651*CC651))</f>
        <v> </v>
      </c>
      <c r="CG651" s="112" t="n">
        <f aca="false">CG650+IF(AND(BZ651&lt;&gt;0,CA651&lt;&gt;0),1,0)</f>
        <v>3</v>
      </c>
      <c r="CH651" s="112" t="n">
        <f aca="false">IF($BY651&lt;=CH$615,MATCH($BY651,CG$617:CG$863,0))</f>
        <v>0</v>
      </c>
    </row>
    <row r="652" s="32" customFormat="true" ht="12.8" hidden="false" customHeight="false" outlineLevel="0" collapsed="false">
      <c r="B652" s="279" t="n">
        <v>14</v>
      </c>
      <c r="C652" s="67" t="str">
        <f aca="false">IF(Circle1&gt;=$B652,HLOOKUP(Discipline1,talentfordisc,1+BY653,0)," ")</f>
        <v> </v>
      </c>
      <c r="D652" s="67" t="str">
        <f aca="false">IF(RIGHT(C652, 3)="(D)",LEFT(C652,LEN(C652)-4),C652)</f>
        <v> </v>
      </c>
      <c r="E652" s="64" t="n">
        <f aca="false">F53</f>
        <v>0</v>
      </c>
      <c r="F652" s="182" t="n">
        <f aca="true">OFFSET(Cost_13_15,E652,0)</f>
        <v>0</v>
      </c>
      <c r="G652" s="64" t="n">
        <f aca="false">IF(C652&lt;&gt;" ",MATCH(D652,Talents!B$3:B$345,1),0)</f>
        <v>0</v>
      </c>
      <c r="H652" s="64" t="str">
        <f aca="true">IF(G652=0," ",OFFSET(Talents!C$2,G652,0))</f>
        <v> </v>
      </c>
      <c r="I652" s="64" t="n">
        <f aca="false">IF(E652&gt;0,G53,0)</f>
        <v>0</v>
      </c>
      <c r="J652" s="64" t="str">
        <f aca="false">IF(H652&lt;&gt;" ",E652+VLOOKUP(H652,G$597:L$603,6,0)+I652," ")</f>
        <v> </v>
      </c>
      <c r="K652" s="64" t="str">
        <f aca="true">IF(J652&lt;&gt;" ",OFFSET(ActionDice,J652,0),"-")</f>
        <v>-</v>
      </c>
      <c r="L652" s="67" t="n">
        <f aca="false">OR(RIGHT(C652, 3)="(D)", NOT(ISERROR(MATCH(D652&amp;" (D)", C$657:C$697, 0))))</f>
        <v>0</v>
      </c>
      <c r="M652" s="64" t="str">
        <f aca="true">IF(G652&gt;0,IF(L652,"D",OFFSET(Talents!D$2,G652,0))&amp;OFFSET(Talents!E$2,G652,0)," ")</f>
        <v> </v>
      </c>
      <c r="N652" s="64" t="n">
        <f aca="false">AND(I53="",C652&lt;&gt;" ")</f>
        <v>0</v>
      </c>
      <c r="O652" s="300" t="n">
        <f aca="false">O651+IF(N651,1,0)</f>
        <v>18</v>
      </c>
      <c r="P652" s="324" t="n">
        <f aca="false">IF(Build!$BY652&lt;=Build!P$615,MATCH(Build!$BY652,Build!O$617:O$714,0))</f>
        <v>0</v>
      </c>
      <c r="Q652" s="112" t="n">
        <f aca="false">Q651+IF(E225&lt;&gt;"",1,0)</f>
        <v>2</v>
      </c>
      <c r="R652" s="112"/>
      <c r="S652" s="112" t="n">
        <f aca="false">S651+IF(E150&lt;&gt;"",1,0)</f>
        <v>2</v>
      </c>
      <c r="T652" s="112"/>
      <c r="U652" s="300" t="n">
        <f aca="false">U651+IF(H398&lt;&gt;"",1,0)</f>
        <v>0</v>
      </c>
      <c r="V652" s="112" t="n">
        <f aca="false">V651+IF(H430&lt;&gt;"",1,0)</f>
        <v>0</v>
      </c>
      <c r="W652" s="112" t="n">
        <f aca="false">W651+IF(H462&lt;&gt;"",1,0)</f>
        <v>0</v>
      </c>
      <c r="X652" s="112" t="n">
        <f aca="false">X651+IF(H494&lt;&gt;"",1,0)</f>
        <v>0</v>
      </c>
      <c r="Y652" s="112" t="n">
        <f aca="false">Y651+IF(H526&lt;&gt;"",1,0)</f>
        <v>0</v>
      </c>
      <c r="Z652" s="112" t="n">
        <f aca="false">Z651+IF($H558&lt;&gt;"",1,0)</f>
        <v>0</v>
      </c>
      <c r="AA652" s="300" t="n">
        <f aca="false">IF($BY652&lt;=U$615,MATCH($BY652,U$617:U$737,0))</f>
        <v>0</v>
      </c>
      <c r="AB652" s="112" t="n">
        <f aca="false">IF($BY652&lt;=V$615,MATCH($BY652,V$617:V$737,0))</f>
        <v>0</v>
      </c>
      <c r="AC652" s="112" t="n">
        <f aca="false">IF($BY652&lt;=W$615,MATCH($BY652,W$617:W$737,0))</f>
        <v>0</v>
      </c>
      <c r="AD652" s="112" t="n">
        <f aca="false">IF($BY652&lt;=X$615,MATCH($BY652,X$617:X$737,0))</f>
        <v>0</v>
      </c>
      <c r="AE652" s="112" t="n">
        <f aca="false">IF($BY652&lt;=Y$615,MATCH($BY652,Y$617:Y$737,0))</f>
        <v>0</v>
      </c>
      <c r="AF652" s="324" t="n">
        <f aca="false">IF($BY652&lt;=Z$615,MATCH($BY652,Z$617:Z$737,0))</f>
        <v>0</v>
      </c>
      <c r="AG652" s="325" t="str">
        <f aca="true">IF(AND(AA652&lt;="",AP43=""),OFFSET(Spells!H$2,AA652,0),"")</f>
        <v>Effect</v>
      </c>
      <c r="AH652" s="325" t="str">
        <f aca="true">IF(AND(AB652&lt;="",AP43=""),OFFSET(Spells!R$2,AB652,0),"")</f>
        <v>Effect</v>
      </c>
      <c r="AI652" s="325" t="str">
        <f aca="true">IF(AND(AC652&lt;="",AP43=""),OFFSET(Spells!AB$2,AC652,0),"")</f>
        <v>Effect</v>
      </c>
      <c r="AJ652" s="326" t="str">
        <f aca="true">IF(AND(AD652&lt;="",AP43=""),OFFSET(Spells!AL$2,AD652,0),"")</f>
        <v>Effect</v>
      </c>
      <c r="AK652" s="326" t="str">
        <f aca="true">IF(AND(AE652&lt;="",AP43=""),OFFSET(Spells!AV$2,AE652,0),"")</f>
        <v>Effect</v>
      </c>
      <c r="AL652" s="325" t="str">
        <f aca="true">IF(AND(AF652&lt;="",AP43=""),OFFSET(Spells!$H$2,AF652,0),"")</f>
        <v>Effect</v>
      </c>
      <c r="AM652" s="327" t="str">
        <f aca="false">IF(G71&lt;&gt;"",G71," ")</f>
        <v> </v>
      </c>
      <c r="AN652" s="112" t="n">
        <f aca="false">IF(AM652&gt;0, I71, 0)</f>
        <v>0</v>
      </c>
      <c r="AO652" s="112" t="n">
        <f aca="true">OFFSET(Cost_9_12,AN652,0)</f>
        <v>0</v>
      </c>
      <c r="AP652" s="112" t="n">
        <f aca="false">AP651+IF(AND(AM652&lt;&gt;" ",AN652&gt;0),1,0)</f>
        <v>5</v>
      </c>
      <c r="AQ652" s="324"/>
      <c r="AR652" s="327" t="str">
        <f aca="false">K87&amp;IF(Q87&lt;&gt;""," ("&amp;Q87&amp;")","")</f>
        <v>Animal Training</v>
      </c>
      <c r="AS652" s="112" t="n">
        <f aca="false">O87</f>
        <v>0</v>
      </c>
      <c r="AT652" s="112" t="n">
        <f aca="true">OFFSET(CostSkill,AS652,0)-OFFSET(CostSkill,N87,0)</f>
        <v>0</v>
      </c>
      <c r="AU652" s="112" t="str">
        <f aca="false">P87</f>
        <v>C</v>
      </c>
      <c r="AV652" s="112" t="n">
        <f aca="false">AV651+IF(AND(AR652&lt;&gt;" ",AS652&gt;0),1,0)</f>
        <v>7</v>
      </c>
      <c r="AW652" s="324" t="n">
        <f aca="false">IF($BY652&lt;=AW$615,MATCH(BY652,AV$617:AV$763,0))</f>
        <v>0</v>
      </c>
      <c r="AX652" s="327" t="str">
        <f aca="false">IF(Discipline1&lt;&gt;"",HLOOKUP(Discipline1,knackfordic,BY649)," ")</f>
        <v>Setup</v>
      </c>
      <c r="AY652" s="329" t="n">
        <f aca="false">MATCH(AX652,Talents!G$3:G$210)</f>
        <v>150</v>
      </c>
      <c r="AZ652" s="329" t="str">
        <f aca="true">IF(AY652,OFFSET(Talents!H$2,Build!AY652,0)," ")</f>
        <v>Maneuver</v>
      </c>
      <c r="BA652" s="112" t="n">
        <f aca="true">IF(AY652,OFFSET(Talents!J$2,Build!AY652,0)," ")</f>
        <v>1</v>
      </c>
      <c r="BB652" s="112" t="n">
        <f aca="true">IF(AY652,OFFSET(Talents!I$2,Build!AY652,0)," ")</f>
        <v>6</v>
      </c>
      <c r="BC652" s="112" t="n">
        <f aca="true">IF(AY652,OFFSET(Talents!K$2,Build!AY652,0)," ")</f>
        <v>3400</v>
      </c>
      <c r="BD652" s="112" t="e">
        <f aca="true">IF(AX$663=" ",OFFSET(E$615,MATCH(AZ652,D$616:D$656,0),0),IF(ISERROR(MATCH(AZ652,D$657:D$697,0)),OFFSET(E$615,MATCH(AZ652,D$616:D$656,0),0),IF(OFFSET(E$615,MATCH(AZ652,D$616:D$656,0),0)&gt;OFFSET(E$656,MATCH(AZ652,D$657:D$697,0),0),OFFSET(E$615,MATCH(AZ652,D$616:D$656,0),0),OFFSET(E$656,MATCH(AZ652,D$657:D$697,0),0))))</f>
        <v>#N/A</v>
      </c>
      <c r="BE652" s="112" t="n">
        <f aca="false">BE651+IF(ISERROR(BD652), 0, IF(BD652&gt;=BB652, 1, 0))</f>
        <v>18</v>
      </c>
      <c r="BF652" s="324" t="n">
        <f aca="false">IF($BY652&lt;=BF$615,MATCH(BY652,BE$617:BE$681,0))</f>
        <v>0</v>
      </c>
      <c r="BG652" s="42"/>
      <c r="BJ652" s="327" t="str">
        <f aca="false">IF(P215&lt;&gt;"",M215," ")</f>
        <v> </v>
      </c>
      <c r="BK652" s="112" t="n">
        <f aca="false">IF(P215="",0,Q215)</f>
        <v>0</v>
      </c>
      <c r="BL652" s="112" t="n">
        <f aca="false">BL651+IF(BJ652&lt;&gt;" ",BK652,0)</f>
        <v>2</v>
      </c>
      <c r="BM652" s="112" t="n">
        <f aca="false">R215</f>
        <v>0</v>
      </c>
      <c r="BN652" s="112" t="n">
        <f aca="false">BN651+IF(BJ652&lt;&gt;" ",BM652,0)</f>
        <v>0</v>
      </c>
      <c r="BO652" s="329" t="str">
        <f aca="false">BO653&amp;IF(BJ652&lt;&gt;" ",", "&amp;BJ652&amp;" ("&amp;BK652&amp;")","")</f>
        <v>, Karma (3), Horror Fend (3)</v>
      </c>
      <c r="BP652" s="327" t="n">
        <f aca="false">BP651+IF(BJ652&lt;&gt;" ",1,0)</f>
        <v>1</v>
      </c>
      <c r="BQ652" s="332"/>
      <c r="BY652" s="333" t="n">
        <f aca="false">BY651+1</f>
        <v>36</v>
      </c>
      <c r="BZ652" s="329" t="str">
        <f aca="false">N238</f>
        <v>Hat, Fine Quality</v>
      </c>
      <c r="CA652" s="112" t="str">
        <f aca="false">Q238</f>
        <v>X</v>
      </c>
      <c r="CB652" s="112" t="n">
        <f aca="false">R238</f>
        <v>9</v>
      </c>
      <c r="CC652" s="112" t="s">
        <v>301</v>
      </c>
      <c r="CD652" s="329" t="n">
        <f aca="false">FIND(",",BZ652)</f>
        <v>4</v>
      </c>
      <c r="CE652" s="329" t="str">
        <f aca="false">IF(ISERROR(CD652),BZ652,MID(BZ652,CD652+2,20)&amp;" "&amp;LEFT(BZ652,CD652-1))&amp;IF(ISERROR(VALUE(CA652)),"",IF(CA652&gt;1," ("&amp;CA652&amp;")",""))</f>
        <v>Fine Quality Hat</v>
      </c>
      <c r="CF652" s="329" t="str">
        <f aca="false">IF(CC652=" "," ",IF(ISERROR(VALUE(CA652)),CC652,CA652*CC652))</f>
        <v> </v>
      </c>
      <c r="CG652" s="112" t="n">
        <f aca="false">CG651+IF(AND(BZ652&lt;&gt;0,CA652&lt;&gt;0),1,0)</f>
        <v>4</v>
      </c>
      <c r="CH652" s="112" t="n">
        <f aca="false">IF($BY652&lt;=CH$615,MATCH($BY652,CG$617:CG$863,0))</f>
        <v>0</v>
      </c>
    </row>
    <row r="653" s="32" customFormat="true" ht="12.75" hidden="false" customHeight="false" outlineLevel="0" collapsed="false">
      <c r="B653" s="279" t="n">
        <v>14</v>
      </c>
      <c r="C653" s="67" t="n">
        <f aca="false">AQ54</f>
        <v>0</v>
      </c>
      <c r="D653" s="67" t="n">
        <f aca="false">IF(RIGHT(C653, 3)="(D)",LEFT(C653,LEN(C653)-4),C653)</f>
        <v>0</v>
      </c>
      <c r="E653" s="64" t="n">
        <f aca="false">F54</f>
        <v>0</v>
      </c>
      <c r="F653" s="182" t="n">
        <f aca="true">OFFSET(Cost_13_15,E653,0)</f>
        <v>0</v>
      </c>
      <c r="G653" s="64" t="e">
        <f aca="false">IF(C653&lt;&gt;" ",MATCH(D653,Talents!B$3:B$345,1),0)</f>
        <v>#N/A</v>
      </c>
      <c r="H653" s="64" t="e">
        <f aca="true">IF(G653=0," ",OFFSET(Talents!C$2,G653,0))</f>
        <v>#N/A</v>
      </c>
      <c r="I653" s="64" t="n">
        <f aca="false">IF(E653&gt;0,G54,0)</f>
        <v>0</v>
      </c>
      <c r="J653" s="64" t="e">
        <f aca="false">IF(H653&lt;&gt;" ",E653+VLOOKUP(H653,G$597:L$603,6,0)+I653," ")</f>
        <v>#N/A</v>
      </c>
      <c r="K653" s="64" t="e">
        <f aca="true">IF(J653&lt;&gt;" ",OFFSET(ActionDice,J653,0),"-")</f>
        <v>#N/A</v>
      </c>
      <c r="L653" s="67" t="n">
        <f aca="false">OR(RIGHT(C653, 3)="(D)", NOT(ISERROR(MATCH(D653&amp;" (D)", C$657:C$697, 0))))</f>
        <v>0</v>
      </c>
      <c r="M653" s="64" t="e">
        <f aca="true">IF(G653&gt;0,IF(L653,"D",OFFSET(Talents!D$2,G653,0))&amp;OFFSET(Talents!E$2,G653,0)," ")</f>
        <v>#N/A</v>
      </c>
      <c r="N653" s="64" t="n">
        <f aca="false">AND(I54="",C653&lt;&gt;" ")</f>
        <v>0</v>
      </c>
      <c r="O653" s="300" t="n">
        <f aca="false">O652+IF(N652,1,0)</f>
        <v>18</v>
      </c>
      <c r="P653" s="324" t="n">
        <f aca="false">IF(Build!$BY653&lt;=Build!P$615,MATCH(Build!$BY653,Build!O$617:O$714,0))</f>
        <v>0</v>
      </c>
      <c r="Q653" s="112" t="n">
        <f aca="false">Q652+IF(E226&lt;&gt;"",1,0)</f>
        <v>2</v>
      </c>
      <c r="R653" s="112"/>
      <c r="S653" s="112" t="n">
        <f aca="false">S652+IF(E151&lt;&gt;"",1,0)</f>
        <v>2</v>
      </c>
      <c r="T653" s="112"/>
      <c r="U653" s="300" t="n">
        <f aca="false">U652+IF(H399&lt;&gt;"",1,0)</f>
        <v>0</v>
      </c>
      <c r="V653" s="112" t="n">
        <f aca="false">V652+IF(H431&lt;&gt;"",1,0)</f>
        <v>0</v>
      </c>
      <c r="W653" s="112" t="n">
        <f aca="false">W652+IF(H463&lt;&gt;"",1,0)</f>
        <v>0</v>
      </c>
      <c r="X653" s="112" t="n">
        <f aca="false">X652+IF(H495&lt;&gt;"",1,0)</f>
        <v>0</v>
      </c>
      <c r="Y653" s="112" t="n">
        <f aca="false">Y652+IF(H527&lt;&gt;"",1,0)</f>
        <v>0</v>
      </c>
      <c r="Z653" s="112" t="n">
        <f aca="false">Z652+IF($H559&lt;&gt;"",1,0)</f>
        <v>0</v>
      </c>
      <c r="AA653" s="300" t="n">
        <f aca="false">IF($BY653&lt;=U$615,MATCH($BY653,U$617:U$737,0))</f>
        <v>0</v>
      </c>
      <c r="AB653" s="112" t="n">
        <f aca="false">IF($BY653&lt;=V$615,MATCH($BY653,V$617:V$737,0))</f>
        <v>0</v>
      </c>
      <c r="AC653" s="112" t="n">
        <f aca="false">IF($BY653&lt;=W$615,MATCH($BY653,W$617:W$737,0))</f>
        <v>0</v>
      </c>
      <c r="AD653" s="112" t="n">
        <f aca="false">IF($BY653&lt;=X$615,MATCH($BY653,X$617:X$737,0))</f>
        <v>0</v>
      </c>
      <c r="AE653" s="112" t="n">
        <f aca="false">IF($BY653&lt;=Y$615,MATCH($BY653,Y$617:Y$737,0))</f>
        <v>0</v>
      </c>
      <c r="AF653" s="324" t="n">
        <f aca="false">IF($BY653&lt;=Z$615,MATCH($BY653,Z$617:Z$737,0))</f>
        <v>0</v>
      </c>
      <c r="AG653" s="325" t="str">
        <f aca="true">IF(AND(AA653&lt;="",AP44=""),OFFSET(Spells!H$2,AA653,0),"")</f>
        <v>Effect</v>
      </c>
      <c r="AH653" s="325" t="str">
        <f aca="true">IF(AND(AB653&lt;="",AP44=""),OFFSET(Spells!R$2,AB653,0),"")</f>
        <v>Effect</v>
      </c>
      <c r="AI653" s="325" t="str">
        <f aca="true">IF(AND(AC653&lt;="",AP44=""),OFFSET(Spells!AB$2,AC653,0),"")</f>
        <v>Effect</v>
      </c>
      <c r="AJ653" s="326" t="str">
        <f aca="true">IF(AND(AD653&lt;="",AP44=""),OFFSET(Spells!AL$2,AD653,0),"")</f>
        <v>Effect</v>
      </c>
      <c r="AK653" s="326" t="str">
        <f aca="true">IF(AND(AE653&lt;="",AP44=""),OFFSET(Spells!AV$2,AE653,0),"")</f>
        <v>Effect</v>
      </c>
      <c r="AL653" s="325" t="str">
        <f aca="true">IF(AND(AF653&lt;="",AP44=""),OFFSET(Spells!$H$2,AF653,0),"")</f>
        <v>Effect</v>
      </c>
      <c r="AM653" s="327" t="str">
        <f aca="false">IF(G72&lt;&gt;"",G72," ")</f>
        <v> </v>
      </c>
      <c r="AN653" s="112" t="n">
        <f aca="false">IF(AM653&gt;0, I72, 0)</f>
        <v>0</v>
      </c>
      <c r="AO653" s="112" t="n">
        <f aca="true">OFFSET(Cost_9_12,AN653,0)</f>
        <v>0</v>
      </c>
      <c r="AP653" s="112" t="n">
        <f aca="false">AP652+IF(AND(AM653&lt;&gt;" ",AN653&gt;0),1,0)</f>
        <v>5</v>
      </c>
      <c r="AQ653" s="324"/>
      <c r="AR653" s="327" t="str">
        <f aca="false">K88&amp;IF(Q88&lt;&gt;""," ("&amp;Q88&amp;")","")</f>
        <v>Arcane Mutterings</v>
      </c>
      <c r="AS653" s="112" t="n">
        <f aca="false">O88</f>
        <v>0</v>
      </c>
      <c r="AT653" s="112" t="n">
        <f aca="true">OFFSET(CostSkill,AS653,0)-OFFSET(CostSkill,N88,0)</f>
        <v>0</v>
      </c>
      <c r="AU653" s="112" t="str">
        <f aca="false">P88</f>
        <v>C</v>
      </c>
      <c r="AV653" s="112" t="n">
        <f aca="false">AV652+IF(AND(AR653&lt;&gt;" ",AS653&gt;0),1,0)</f>
        <v>7</v>
      </c>
      <c r="AW653" s="112"/>
      <c r="AX653" s="327" t="str">
        <f aca="false">IF(Discipline1&lt;&gt;"",HLOOKUP(Discipline1,knackfordic,BY650)," ")</f>
        <v>Shadow Hide</v>
      </c>
      <c r="AY653" s="329" t="n">
        <f aca="false">MATCH(AX653,Talents!G$3:G$210)</f>
        <v>151</v>
      </c>
      <c r="AZ653" s="329" t="str">
        <f aca="true">IF(AY653,OFFSET(Talents!H$2,Build!AY653,0)," ")</f>
        <v>Silent Walk</v>
      </c>
      <c r="BA653" s="112" t="n">
        <f aca="true">IF(AY653,OFFSET(Talents!J$2,Build!AY653,0)," ")</f>
        <v>1</v>
      </c>
      <c r="BB653" s="112" t="n">
        <f aca="true">IF(AY653,OFFSET(Talents!I$2,Build!AY653,0)," ")</f>
        <v>2</v>
      </c>
      <c r="BC653" s="112" t="n">
        <f aca="true">IF(AY653,OFFSET(Talents!K$2,Build!AY653,0)," ")</f>
        <v>500</v>
      </c>
      <c r="BD653" s="112" t="n">
        <f aca="true">IF(AX$663=" ",OFFSET(E$615,MATCH(AZ653,D$616:D$656,0),0),IF(ISERROR(MATCH(AZ653,D$657:D$697,0)),OFFSET(E$615,MATCH(AZ653,D$616:D$656,0),0),IF(OFFSET(E$615,MATCH(AZ653,D$616:D$656,0),0)&gt;OFFSET(E$656,MATCH(AZ653,D$657:D$697,0),0),OFFSET(E$615,MATCH(AZ653,D$616:D$656,0),0),OFFSET(E$656,MATCH(AZ653,D$657:D$697,0),0))))</f>
        <v>8</v>
      </c>
      <c r="BE653" s="112" t="n">
        <f aca="false">BE652+IF(ISERROR(BD653), 0, IF(BD653&gt;=BB653, 1, 0))</f>
        <v>19</v>
      </c>
      <c r="BF653" s="324" t="n">
        <f aca="false">IF($BY653&lt;=BF$615,MATCH(BY653,BE$617:BE$681,0))</f>
        <v>0</v>
      </c>
      <c r="BG653" s="42"/>
      <c r="BJ653" s="327" t="str">
        <f aca="false">IF(P216&lt;&gt;"",M216," ")</f>
        <v> </v>
      </c>
      <c r="BK653" s="112" t="n">
        <f aca="false">IF(P216="",0,Q216)</f>
        <v>0</v>
      </c>
      <c r="BL653" s="112" t="n">
        <f aca="false">BL652+IF(BJ653&lt;&gt;" ",BK653,0)</f>
        <v>2</v>
      </c>
      <c r="BM653" s="112" t="n">
        <f aca="false">R216</f>
        <v>0</v>
      </c>
      <c r="BN653" s="112" t="n">
        <f aca="false">BN652+IF(BJ653&lt;&gt;" ",BM653,0)</f>
        <v>0</v>
      </c>
      <c r="BO653" s="329" t="str">
        <f aca="false">BO654&amp;IF(BJ653&lt;&gt;" ",", "&amp;BJ653&amp;" ("&amp;BK653&amp;")","")</f>
        <v>, Karma (3), Horror Fend (3)</v>
      </c>
      <c r="BP653" s="327" t="n">
        <f aca="false">BP652+IF(BJ653&lt;&gt;" ",1,0)</f>
        <v>1</v>
      </c>
      <c r="BQ653" s="332"/>
      <c r="BY653" s="333" t="n">
        <f aca="false">BY652+1</f>
        <v>37</v>
      </c>
      <c r="BZ653" s="329" t="str">
        <f aca="false">N239</f>
        <v>Hat, Courtier Quality</v>
      </c>
      <c r="CA653" s="112" t="n">
        <f aca="false">Q239</f>
        <v>0</v>
      </c>
      <c r="CB653" s="112" t="n">
        <f aca="false">R239</f>
        <v>18</v>
      </c>
      <c r="CC653" s="112" t="s">
        <v>301</v>
      </c>
      <c r="CD653" s="329" t="n">
        <f aca="false">FIND(",",BZ653)</f>
        <v>4</v>
      </c>
      <c r="CE653" s="329" t="str">
        <f aca="false">IF(ISERROR(CD653),BZ653,MID(BZ653,CD653+2,20)&amp;" "&amp;LEFT(BZ653,CD653-1))&amp;IF(ISERROR(VALUE(CA653)),"",IF(CA653&gt;1," ("&amp;CA653&amp;")",""))</f>
        <v>Courtier Quality Hat</v>
      </c>
      <c r="CF653" s="329" t="str">
        <f aca="false">IF(CC653=" "," ",IF(ISERROR(VALUE(CA653)),CC653,CA653*CC653))</f>
        <v> </v>
      </c>
      <c r="CG653" s="112" t="n">
        <f aca="false">CG652+IF(AND(BZ653&lt;&gt;0,CA653&lt;&gt;0),1,0)</f>
        <v>4</v>
      </c>
      <c r="CH653" s="112" t="n">
        <f aca="false">IF($BY653&lt;=CH$615,MATCH($BY653,CG$617:CG$863,0))</f>
        <v>0</v>
      </c>
    </row>
    <row r="654" s="32" customFormat="true" ht="12.75" hidden="false" customHeight="false" outlineLevel="0" collapsed="false">
      <c r="B654" s="279" t="n">
        <v>15</v>
      </c>
      <c r="C654" s="67" t="str">
        <f aca="false">IF(Circle1&gt;=$B654,HLOOKUP(Discipline1,talentfordisc,1+BY655,0)," ")</f>
        <v> </v>
      </c>
      <c r="D654" s="67" t="str">
        <f aca="false">IF(RIGHT(C654, 3)="(D)",LEFT(C654,LEN(C654)-4),C654)</f>
        <v> </v>
      </c>
      <c r="E654" s="64" t="n">
        <f aca="false">F55</f>
        <v>0</v>
      </c>
      <c r="F654" s="182" t="n">
        <f aca="true">OFFSET(Cost_13_15,E654,0)</f>
        <v>0</v>
      </c>
      <c r="G654" s="64" t="n">
        <f aca="false">IF(C654&lt;&gt;" ",MATCH(D654,Talents!B$3:B$345,1),0)</f>
        <v>0</v>
      </c>
      <c r="H654" s="64" t="str">
        <f aca="true">IF(G654=0," ",OFFSET(Talents!C$2,G654,0))</f>
        <v> </v>
      </c>
      <c r="I654" s="64" t="n">
        <f aca="false">IF(E654&gt;0,G55,0)</f>
        <v>0</v>
      </c>
      <c r="J654" s="64" t="str">
        <f aca="false">IF(H654&lt;&gt;" ",E654+VLOOKUP(H654,G$597:L$603,6,0)+I654," ")</f>
        <v> </v>
      </c>
      <c r="K654" s="64" t="str">
        <f aca="true">IF(J654&lt;&gt;" ",OFFSET(ActionDice,J654,0),"-")</f>
        <v>-</v>
      </c>
      <c r="L654" s="67" t="n">
        <f aca="false">OR(RIGHT(C654, 3)="(D)", NOT(ISERROR(MATCH(D654&amp;" (D)", C$657:C$697, 0))))</f>
        <v>0</v>
      </c>
      <c r="M654" s="64" t="str">
        <f aca="true">IF(G654&gt;0,IF(L654,"D",OFFSET(Talents!D$2,G654,0))&amp;OFFSET(Talents!E$2,G654,0)," ")</f>
        <v> </v>
      </c>
      <c r="N654" s="64" t="n">
        <f aca="false">AND(I55="",C654&lt;&gt;" ")</f>
        <v>0</v>
      </c>
      <c r="O654" s="300" t="n">
        <f aca="false">O653+IF(N653,1,0)</f>
        <v>18</v>
      </c>
      <c r="P654" s="324" t="n">
        <f aca="false">IF(Build!$BY654&lt;=Build!P$615,MATCH(Build!$BY654,Build!O$617:O$714,0))</f>
        <v>0</v>
      </c>
      <c r="Q654" s="112" t="n">
        <f aca="false">Q653+IF(E227&lt;&gt;"",1,0)</f>
        <v>2</v>
      </c>
      <c r="R654" s="112"/>
      <c r="S654" s="112" t="n">
        <f aca="false">S653+IF(E152&lt;&gt;"",1,0)</f>
        <v>2</v>
      </c>
      <c r="T654" s="112"/>
      <c r="U654" s="300" t="n">
        <f aca="false">U653+IF(H400&lt;&gt;"",1,0)</f>
        <v>0</v>
      </c>
      <c r="V654" s="112" t="n">
        <f aca="false">V653+IF(H432&lt;&gt;"",1,0)</f>
        <v>0</v>
      </c>
      <c r="W654" s="112" t="n">
        <f aca="false">W653+IF(H464&lt;&gt;"",1,0)</f>
        <v>0</v>
      </c>
      <c r="X654" s="112" t="n">
        <f aca="false">X653+IF(H496&lt;&gt;"",1,0)</f>
        <v>0</v>
      </c>
      <c r="Y654" s="112" t="n">
        <f aca="false">Y653+IF(H528&lt;&gt;"",1,0)</f>
        <v>0</v>
      </c>
      <c r="Z654" s="112" t="n">
        <f aca="false">Z653+IF($H560&lt;&gt;"",1,0)</f>
        <v>0</v>
      </c>
      <c r="AA654" s="300" t="n">
        <f aca="false">IF($BY654&lt;=U$615,MATCH($BY654,U$617:U$737,0))</f>
        <v>0</v>
      </c>
      <c r="AB654" s="112" t="n">
        <f aca="false">IF($BY654&lt;=V$615,MATCH($BY654,V$617:V$737,0))</f>
        <v>0</v>
      </c>
      <c r="AC654" s="112" t="n">
        <f aca="false">IF($BY654&lt;=W$615,MATCH($BY654,W$617:W$737,0))</f>
        <v>0</v>
      </c>
      <c r="AD654" s="112" t="n">
        <f aca="false">IF($BY654&lt;=X$615,MATCH($BY654,X$617:X$737,0))</f>
        <v>0</v>
      </c>
      <c r="AE654" s="112" t="n">
        <f aca="false">IF($BY654&lt;=Y$615,MATCH($BY654,Y$617:Y$737,0))</f>
        <v>0</v>
      </c>
      <c r="AF654" s="324" t="n">
        <f aca="false">IF($BY654&lt;=Z$615,MATCH($BY654,Z$617:Z$737,0))</f>
        <v>0</v>
      </c>
      <c r="AG654" s="325" t="str">
        <f aca="true">IF(AND(AA654&lt;="",AP45=""),OFFSET(Spells!H$2,AA654,0),"")</f>
        <v>Effect</v>
      </c>
      <c r="AH654" s="325" t="str">
        <f aca="true">IF(AND(AB654&lt;="",AP45=""),OFFSET(Spells!R$2,AB654,0),"")</f>
        <v>Effect</v>
      </c>
      <c r="AI654" s="325" t="str">
        <f aca="true">IF(AND(AC654&lt;="",AP45=""),OFFSET(Spells!AB$2,AC654,0),"")</f>
        <v>Effect</v>
      </c>
      <c r="AJ654" s="326" t="str">
        <f aca="true">IF(AND(AD654&lt;="",AP45=""),OFFSET(Spells!AL$2,AD654,0),"")</f>
        <v>Effect</v>
      </c>
      <c r="AK654" s="326" t="str">
        <f aca="true">IF(AND(AE654&lt;="",AP45=""),OFFSET(Spells!AV$2,AE654,0),"")</f>
        <v>Effect</v>
      </c>
      <c r="AL654" s="325" t="str">
        <f aca="true">IF(AND(AF654&lt;="",AP45=""),OFFSET(Spells!$H$2,AF654,0),"")</f>
        <v>Effect</v>
      </c>
      <c r="AM654" s="327" t="str">
        <f aca="false">IF(G73&lt;&gt;"",G73," ")</f>
        <v> </v>
      </c>
      <c r="AN654" s="112" t="n">
        <f aca="false">IF(AM654&gt;0, I73, 0)</f>
        <v>0</v>
      </c>
      <c r="AO654" s="112" t="n">
        <f aca="true">OFFSET(Cost_9_12,AN654,0)</f>
        <v>0</v>
      </c>
      <c r="AP654" s="112" t="n">
        <f aca="false">AP653+IF(AND(AM654&lt;&gt;" ",AN654&gt;0),1,0)</f>
        <v>5</v>
      </c>
      <c r="AQ654" s="324"/>
      <c r="AR654" s="327" t="str">
        <f aca="false">K89&amp;IF(Q89&lt;&gt;""," ("&amp;Q89&amp;")","")</f>
        <v>Artisan</v>
      </c>
      <c r="AS654" s="112" t="n">
        <f aca="false">O89</f>
        <v>0</v>
      </c>
      <c r="AT654" s="112" t="n">
        <f aca="true">OFFSET(CostSkill,AS654,0)-OFFSET(CostSkill,N89,0)</f>
        <v>0</v>
      </c>
      <c r="AU654" s="112" t="str">
        <f aca="false">P89</f>
        <v>C</v>
      </c>
      <c r="AV654" s="112" t="n">
        <f aca="false">AV653+IF(AND(AR654&lt;&gt;" ",AS654&gt;0),1,0)</f>
        <v>7</v>
      </c>
      <c r="AW654" s="112"/>
      <c r="AX654" s="327" t="str">
        <f aca="false">IF(Discipline1&lt;&gt;"",HLOOKUP(Discipline1,knackfordic,BY651)," ")</f>
        <v>Stalk</v>
      </c>
      <c r="AY654" s="329" t="n">
        <f aca="false">MATCH(AX654,Talents!G$3:G$210)</f>
        <v>160</v>
      </c>
      <c r="AZ654" s="329" t="str">
        <f aca="true">IF(AY654,OFFSET(Talents!H$2,Build!AY654,0)," ")</f>
        <v>Spirit Dodge</v>
      </c>
      <c r="BA654" s="112" t="n">
        <f aca="true">IF(AY654,OFFSET(Talents!J$2,Build!AY654,0)," ")</f>
        <v>3</v>
      </c>
      <c r="BB654" s="112" t="n">
        <f aca="true">IF(AY654,OFFSET(Talents!I$2,Build!AY654,0)," ")</f>
        <v>9</v>
      </c>
      <c r="BC654" s="112" t="n">
        <f aca="true">IF(AY654,OFFSET(Talents!K$2,Build!AY654,0)," ")</f>
        <v>8900</v>
      </c>
      <c r="BD654" s="112" t="e">
        <f aca="true">IF(AX$663=" ",OFFSET(E$615,MATCH(AZ654,D$616:D$656,0),0),IF(ISERROR(MATCH(AZ654,D$657:D$697,0)),OFFSET(E$615,MATCH(AZ654,D$616:D$656,0),0),IF(OFFSET(E$615,MATCH(AZ654,D$616:D$656,0),0)&gt;OFFSET(E$656,MATCH(AZ654,D$657:D$697,0),0),OFFSET(E$615,MATCH(AZ654,D$616:D$656,0),0),OFFSET(E$656,MATCH(AZ654,D$657:D$697,0),0))))</f>
        <v>#N/A</v>
      </c>
      <c r="BE654" s="112" t="n">
        <f aca="false">BE653+IF(ISERROR(BD654), 0, IF(BD654&gt;=BB654, 1, 0))</f>
        <v>19</v>
      </c>
      <c r="BF654" s="324" t="n">
        <f aca="false">IF($BY654&lt;=BF$615,MATCH(BY654,BE$617:BE$681,0))</f>
        <v>0</v>
      </c>
      <c r="BG654" s="42"/>
      <c r="BJ654" s="327" t="str">
        <f aca="false">IF(P217&lt;&gt;"",M217," ")</f>
        <v> </v>
      </c>
      <c r="BK654" s="112" t="n">
        <f aca="false">IF(P217="",0,Q217)</f>
        <v>0</v>
      </c>
      <c r="BL654" s="112" t="n">
        <f aca="false">BL653+IF(BJ654&lt;&gt;" ",BK654,0)</f>
        <v>2</v>
      </c>
      <c r="BM654" s="112" t="n">
        <f aca="false">R217</f>
        <v>0</v>
      </c>
      <c r="BN654" s="112" t="n">
        <f aca="false">BN653+IF(BJ654&lt;&gt;" ",BM654,0)</f>
        <v>0</v>
      </c>
      <c r="BO654" s="329" t="str">
        <f aca="false">BO655&amp;IF(BJ654&lt;&gt;" ",", "&amp;BJ654&amp;" ("&amp;BK654&amp;")","")</f>
        <v>, Karma (3), Horror Fend (3)</v>
      </c>
      <c r="BP654" s="327" t="n">
        <f aca="false">BP653+IF(BJ654&lt;&gt;" ",1,0)</f>
        <v>1</v>
      </c>
      <c r="BQ654" s="332"/>
      <c r="BY654" s="333" t="n">
        <f aca="false">BY653+1</f>
        <v>38</v>
      </c>
      <c r="BZ654" s="329" t="str">
        <f aca="false">N240</f>
        <v>Hooded mask</v>
      </c>
      <c r="CA654" s="112" t="n">
        <f aca="false">Q240</f>
        <v>0</v>
      </c>
      <c r="CB654" s="112" t="n">
        <f aca="false">R240</f>
        <v>3</v>
      </c>
      <c r="CC654" s="112" t="s">
        <v>301</v>
      </c>
      <c r="CD654" s="329" t="e">
        <f aca="false">FIND(",",BZ654)</f>
        <v>#VALUE!</v>
      </c>
      <c r="CE654" s="329" t="str">
        <f aca="false">IF(ISERROR(CD654),BZ654,MID(BZ654,CD654+2,20)&amp;" "&amp;LEFT(BZ654,CD654-1))&amp;IF(ISERROR(VALUE(CA654)),"",IF(CA654&gt;1," ("&amp;CA654&amp;")",""))</f>
        <v>Hooded mask</v>
      </c>
      <c r="CF654" s="329" t="str">
        <f aca="false">IF(CC654=" "," ",IF(ISERROR(VALUE(CA654)),CC654,CA654*CC654))</f>
        <v> </v>
      </c>
      <c r="CG654" s="112" t="n">
        <f aca="false">CG653+IF(AND(BZ654&lt;&gt;0,CA654&lt;&gt;0),1,0)</f>
        <v>4</v>
      </c>
      <c r="CH654" s="112" t="n">
        <f aca="false">IF($BY654&lt;=CH$615,MATCH($BY654,CG$617:CG$863,0))</f>
        <v>0</v>
      </c>
    </row>
    <row r="655" s="32" customFormat="true" ht="12.75" hidden="false" customHeight="false" outlineLevel="0" collapsed="false">
      <c r="B655" s="279" t="n">
        <v>15</v>
      </c>
      <c r="C655" s="67" t="n">
        <f aca="false">AQ56</f>
        <v>0</v>
      </c>
      <c r="D655" s="67" t="n">
        <f aca="false">IF(RIGHT(C655, 3)="(D)",LEFT(C655,LEN(C655)-4),C655)</f>
        <v>0</v>
      </c>
      <c r="E655" s="64" t="n">
        <f aca="false">F56</f>
        <v>0</v>
      </c>
      <c r="F655" s="182" t="n">
        <f aca="true">OFFSET(Cost_13_15,E655,0)</f>
        <v>0</v>
      </c>
      <c r="G655" s="64" t="e">
        <f aca="false">IF(C655&lt;&gt;" ",MATCH(D655,Talents!B$3:B$345,1),0)</f>
        <v>#N/A</v>
      </c>
      <c r="H655" s="64" t="e">
        <f aca="true">IF(G655=0," ",OFFSET(Talents!C$2,G655,0))</f>
        <v>#N/A</v>
      </c>
      <c r="I655" s="64" t="n">
        <f aca="false">IF(E655&gt;0,G56,0)</f>
        <v>0</v>
      </c>
      <c r="J655" s="64" t="e">
        <f aca="false">IF(H655&lt;&gt;" ",E655+VLOOKUP(H655,G$597:L$603,6,0)+I655," ")</f>
        <v>#N/A</v>
      </c>
      <c r="K655" s="64" t="e">
        <f aca="true">IF(J655&lt;&gt;" ",OFFSET(ActionDice,J655,0),"-")</f>
        <v>#N/A</v>
      </c>
      <c r="L655" s="67" t="n">
        <f aca="false">OR(RIGHT(C655, 3)="(D)", NOT(ISERROR(MATCH(D655&amp;" (D)", C$657:C$697, 0))))</f>
        <v>0</v>
      </c>
      <c r="M655" s="64" t="e">
        <f aca="true">IF(G655&gt;0,IF(L655,"D",OFFSET(Talents!D$2,G655,0))&amp;OFFSET(Talents!E$2,G655,0)," ")</f>
        <v>#N/A</v>
      </c>
      <c r="N655" s="64" t="n">
        <f aca="false">AND(I56="",C655&lt;&gt;" ")</f>
        <v>0</v>
      </c>
      <c r="O655" s="300" t="n">
        <f aca="false">O654+IF(N654,1,0)</f>
        <v>18</v>
      </c>
      <c r="P655" s="324" t="n">
        <f aca="false">IF(Build!$BY655&lt;=Build!P$615,MATCH(Build!$BY655,Build!O$617:O$714,0))</f>
        <v>0</v>
      </c>
      <c r="Q655" s="112" t="n">
        <f aca="false">Q654+IF(E228&lt;&gt;"",1,0)</f>
        <v>2</v>
      </c>
      <c r="R655" s="112"/>
      <c r="S655" s="112" t="n">
        <f aca="false">S654+IF(E153&lt;&gt;"",1,0)</f>
        <v>2</v>
      </c>
      <c r="T655" s="112"/>
      <c r="U655" s="300" t="n">
        <f aca="false">U654+IF(H401&lt;&gt;"",1,0)</f>
        <v>0</v>
      </c>
      <c r="V655" s="112" t="n">
        <f aca="false">V654+IF(H433&lt;&gt;"",1,0)</f>
        <v>0</v>
      </c>
      <c r="W655" s="112" t="n">
        <f aca="false">W654+IF(H465&lt;&gt;"",1,0)</f>
        <v>0</v>
      </c>
      <c r="X655" s="112" t="n">
        <f aca="false">X654+IF(H497&lt;&gt;"",1,0)</f>
        <v>0</v>
      </c>
      <c r="Y655" s="112" t="n">
        <f aca="false">Y654+IF(H529&lt;&gt;"",1,0)</f>
        <v>0</v>
      </c>
      <c r="Z655" s="112" t="n">
        <f aca="false">Z654+IF($H561&lt;&gt;"",1,0)</f>
        <v>0</v>
      </c>
      <c r="AA655" s="300" t="n">
        <f aca="false">IF($BY655&lt;=U$615,MATCH($BY655,U$617:U$737,0))</f>
        <v>0</v>
      </c>
      <c r="AB655" s="112" t="n">
        <f aca="false">IF($BY655&lt;=V$615,MATCH($BY655,V$617:V$737,0))</f>
        <v>0</v>
      </c>
      <c r="AC655" s="112" t="n">
        <f aca="false">IF($BY655&lt;=W$615,MATCH($BY655,W$617:W$737,0))</f>
        <v>0</v>
      </c>
      <c r="AD655" s="112" t="n">
        <f aca="false">IF($BY655&lt;=X$615,MATCH($BY655,X$617:X$737,0))</f>
        <v>0</v>
      </c>
      <c r="AE655" s="112" t="n">
        <f aca="false">IF($BY655&lt;=Y$615,MATCH($BY655,Y$617:Y$737,0))</f>
        <v>0</v>
      </c>
      <c r="AF655" s="324" t="n">
        <f aca="false">IF($BY655&lt;=Z$615,MATCH($BY655,Z$617:Z$737,0))</f>
        <v>0</v>
      </c>
      <c r="AG655" s="325" t="str">
        <f aca="true">IF(AND(AA655&lt;="",AP46=""),OFFSET(Spells!H$2,AA655,0),"")</f>
        <v>Effect</v>
      </c>
      <c r="AH655" s="325" t="str">
        <f aca="true">IF(AND(AB655&lt;="",AP46=""),OFFSET(Spells!R$2,AB655,0),"")</f>
        <v>Effect</v>
      </c>
      <c r="AI655" s="325" t="str">
        <f aca="true">IF(AND(AC655&lt;="",AP46=""),OFFSET(Spells!AB$2,AC655,0),"")</f>
        <v>Effect</v>
      </c>
      <c r="AJ655" s="326" t="str">
        <f aca="true">IF(AND(AD655&lt;="",AP46=""),OFFSET(Spells!AL$2,AD655,0),"")</f>
        <v>Effect</v>
      </c>
      <c r="AK655" s="326" t="str">
        <f aca="true">IF(AND(AE655&lt;="",AP46=""),OFFSET(Spells!AV$2,AE655,0),"")</f>
        <v>Effect</v>
      </c>
      <c r="AL655" s="325" t="str">
        <f aca="true">IF(AND(AF655&lt;="",AP46=""),OFFSET(Spells!$H$2,AF655,0),"")</f>
        <v>Effect</v>
      </c>
      <c r="AM655" s="327" t="str">
        <f aca="false">IF(G74&lt;&gt;"",G74," ")</f>
        <v> </v>
      </c>
      <c r="AN655" s="112" t="n">
        <f aca="false">IF(AM655&gt;0, I74, 0)</f>
        <v>0</v>
      </c>
      <c r="AO655" s="112" t="n">
        <f aca="true">OFFSET(Cost_9_12,AN655,0)</f>
        <v>0</v>
      </c>
      <c r="AP655" s="112" t="n">
        <f aca="false">AP654+IF(AND(AM655&lt;&gt;" ",AN655&gt;0),1,0)</f>
        <v>5</v>
      </c>
      <c r="AQ655" s="324"/>
      <c r="AR655" s="327" t="str">
        <f aca="false">K90&amp;IF(Q90&lt;&gt;""," ("&amp;Q90&amp;")","")</f>
        <v>Artist</v>
      </c>
      <c r="AS655" s="112" t="n">
        <f aca="false">O90</f>
        <v>0</v>
      </c>
      <c r="AT655" s="112" t="n">
        <f aca="true">OFFSET(CostSkill,AS655,0)-OFFSET(CostSkill,N90,0)</f>
        <v>0</v>
      </c>
      <c r="AU655" s="112" t="str">
        <f aca="false">P90</f>
        <v>C</v>
      </c>
      <c r="AV655" s="112" t="n">
        <f aca="false">AV654+IF(AND(AR655&lt;&gt;" ",AS655&gt;0),1,0)</f>
        <v>7</v>
      </c>
      <c r="AW655" s="112"/>
      <c r="AX655" s="327" t="str">
        <f aca="false">IF(Discipline1&lt;&gt;"",HLOOKUP(Discipline1,knackfordic,BY652)," ")</f>
        <v>Swift Hoof</v>
      </c>
      <c r="AY655" s="329" t="n">
        <f aca="false">MATCH(AX655,Talents!G$3:G$210)</f>
        <v>164</v>
      </c>
      <c r="AZ655" s="329" t="str">
        <f aca="true">IF(AY655,OFFSET(Talents!H$2,Build!AY655,0)," ")</f>
        <v>Trick Riding</v>
      </c>
      <c r="BA655" s="112" t="str">
        <f aca="true">IF(AY655,OFFSET(Talents!J$2,Build!AY655,0)," ")</f>
        <v>1*</v>
      </c>
      <c r="BB655" s="112" t="n">
        <f aca="true">IF(AY655,OFFSET(Talents!I$2,Build!AY655,0)," ")</f>
        <v>3</v>
      </c>
      <c r="BC655" s="112" t="n">
        <f aca="true">IF(AY655,OFFSET(Talents!K$2,Build!AY655,0)," ")</f>
        <v>800</v>
      </c>
      <c r="BD655" s="112" t="e">
        <f aca="true">IF(AX$663=" ",OFFSET(E$615,MATCH(AZ655,D$616:D$656,0),0),IF(ISERROR(MATCH(AZ655,D$657:D$697,0)),OFFSET(E$615,MATCH(AZ655,D$616:D$656,0),0),IF(OFFSET(E$615,MATCH(AZ655,D$616:D$656,0),0)&gt;OFFSET(E$656,MATCH(AZ655,D$657:D$697,0),0),OFFSET(E$615,MATCH(AZ655,D$616:D$656,0),0),OFFSET(E$656,MATCH(AZ655,D$657:D$697,0),0))))</f>
        <v>#N/A</v>
      </c>
      <c r="BE655" s="112" t="n">
        <f aca="false">BE654+IF(ISERROR(BD655), 0, IF(BD655&gt;=BB655, 1, 0))</f>
        <v>19</v>
      </c>
      <c r="BF655" s="324" t="n">
        <f aca="false">IF($BY655&lt;=BF$615,MATCH(BY655,BE$617:BE$681,0))</f>
        <v>0</v>
      </c>
      <c r="BG655" s="42"/>
      <c r="BJ655" s="327" t="str">
        <f aca="false">IF(P218&lt;&gt;"",M218," ")</f>
        <v> </v>
      </c>
      <c r="BK655" s="112" t="n">
        <f aca="false">IF(P218="",0,Q218)</f>
        <v>0</v>
      </c>
      <c r="BL655" s="112" t="n">
        <f aca="false">BL654+IF(BJ655&lt;&gt;" ",BK655,0)</f>
        <v>2</v>
      </c>
      <c r="BM655" s="112" t="n">
        <f aca="false">R218</f>
        <v>0</v>
      </c>
      <c r="BN655" s="112" t="n">
        <f aca="false">BN654+IF(BJ655&lt;&gt;" ",BM655,0)</f>
        <v>0</v>
      </c>
      <c r="BO655" s="329" t="str">
        <f aca="false">BO656&amp;IF(BJ655&lt;&gt;" ",", "&amp;BJ655&amp;" ("&amp;BK655&amp;")","")</f>
        <v>, Karma (3), Horror Fend (3)</v>
      </c>
      <c r="BP655" s="327" t="n">
        <f aca="false">BP654+IF(BJ655&lt;&gt;" ",1,0)</f>
        <v>1</v>
      </c>
      <c r="BQ655" s="332"/>
      <c r="BY655" s="333" t="n">
        <f aca="false">BY654+1</f>
        <v>39</v>
      </c>
      <c r="BZ655" s="329" t="str">
        <f aca="false">N241</f>
        <v>Hosiery, Plain</v>
      </c>
      <c r="CA655" s="112" t="n">
        <f aca="false">Q241</f>
        <v>0</v>
      </c>
      <c r="CB655" s="112" t="n">
        <f aca="false">R241</f>
        <v>0.5</v>
      </c>
      <c r="CC655" s="112" t="s">
        <v>301</v>
      </c>
      <c r="CD655" s="329" t="n">
        <f aca="false">FIND(",",BZ655)</f>
        <v>8</v>
      </c>
      <c r="CE655" s="329" t="str">
        <f aca="false">IF(ISERROR(CD655),BZ655,MID(BZ655,CD655+2,20)&amp;" "&amp;LEFT(BZ655,CD655-1))&amp;IF(ISERROR(VALUE(CA655)),"",IF(CA655&gt;1," ("&amp;CA655&amp;")",""))</f>
        <v>Plain Hosiery</v>
      </c>
      <c r="CF655" s="329" t="str">
        <f aca="false">IF(CC655=" "," ",IF(ISERROR(VALUE(CA655)),CC655,CA655*CC655))</f>
        <v> </v>
      </c>
      <c r="CG655" s="112" t="n">
        <f aca="false">CG654+IF(AND(BZ655&lt;&gt;0,CA655&lt;&gt;0),1,0)</f>
        <v>4</v>
      </c>
      <c r="CH655" s="112" t="n">
        <f aca="false">IF($BY655&lt;=CH$615,MATCH($BY655,CG$617:CG$863,0))</f>
        <v>0</v>
      </c>
    </row>
    <row r="656" s="32" customFormat="true" ht="12.75" hidden="false" customHeight="false" outlineLevel="0" collapsed="false">
      <c r="B656" s="279" t="n">
        <v>15</v>
      </c>
      <c r="C656" s="67" t="n">
        <f aca="false">AQ57</f>
        <v>0</v>
      </c>
      <c r="D656" s="67" t="n">
        <f aca="false">IF(RIGHT(C656, 3)="(D)",LEFT(C656,LEN(C656)-4),C656)</f>
        <v>0</v>
      </c>
      <c r="E656" s="64" t="n">
        <f aca="false">F57</f>
        <v>0</v>
      </c>
      <c r="F656" s="182" t="n">
        <f aca="true">OFFSET(Cost_13_15,E656,0)</f>
        <v>0</v>
      </c>
      <c r="G656" s="64" t="e">
        <f aca="false">IF(C656&lt;&gt;" ",MATCH(D656,Talents!B$3:B$345,1),0)</f>
        <v>#N/A</v>
      </c>
      <c r="H656" s="64" t="e">
        <f aca="true">IF(G656=0," ",OFFSET(Talents!C$2,G656,0))</f>
        <v>#N/A</v>
      </c>
      <c r="I656" s="64" t="n">
        <f aca="false">IF(E656&gt;0,G57,0)</f>
        <v>0</v>
      </c>
      <c r="J656" s="64" t="e">
        <f aca="false">IF(H656&lt;&gt;" ",E656+VLOOKUP(H656,G$597:L$603,6,0)+I656," ")</f>
        <v>#N/A</v>
      </c>
      <c r="K656" s="64" t="e">
        <f aca="true">IF(J656&lt;&gt;" ",OFFSET(ActionDice,J656,0),"-")</f>
        <v>#N/A</v>
      </c>
      <c r="L656" s="67" t="n">
        <f aca="false">OR(RIGHT(C656, 3)="(D)", NOT(ISERROR(MATCH(D656&amp;" (D)", C$657:C$697, 0))))</f>
        <v>0</v>
      </c>
      <c r="M656" s="64" t="e">
        <f aca="true">IF(G656&gt;0,IF(L656,"D",OFFSET(Talents!D$2,G656,0))&amp;OFFSET(Talents!E$2,G656,0)," ")</f>
        <v>#N/A</v>
      </c>
      <c r="N656" s="64" t="n">
        <f aca="false">AND(I57="",C656&lt;&gt;" ")</f>
        <v>0</v>
      </c>
      <c r="O656" s="300" t="n">
        <f aca="false">O655+IF(N655,1,0)</f>
        <v>18</v>
      </c>
      <c r="P656" s="324" t="n">
        <f aca="false">IF(Build!$BY656&lt;=Build!P$615,MATCH(Build!$BY656,Build!O$617:O$714,0))</f>
        <v>0</v>
      </c>
      <c r="Q656" s="112" t="n">
        <f aca="false">Q655+IF(E229&lt;&gt;"",1,0)</f>
        <v>2</v>
      </c>
      <c r="R656" s="112"/>
      <c r="S656" s="112" t="n">
        <f aca="false">S655+IF(E154&lt;&gt;"",1,0)</f>
        <v>2</v>
      </c>
      <c r="T656" s="112"/>
      <c r="U656" s="300" t="n">
        <f aca="false">U655+IF(H402&lt;&gt;"",1,0)</f>
        <v>0</v>
      </c>
      <c r="V656" s="112" t="n">
        <f aca="false">V655+IF(H434&lt;&gt;"",1,0)</f>
        <v>0</v>
      </c>
      <c r="W656" s="112" t="n">
        <f aca="false">W655+IF(H466&lt;&gt;"",1,0)</f>
        <v>0</v>
      </c>
      <c r="X656" s="112" t="n">
        <f aca="false">X655+IF(H498&lt;&gt;"",1,0)</f>
        <v>0</v>
      </c>
      <c r="Y656" s="112" t="n">
        <f aca="false">Y655+IF(H530&lt;&gt;"",1,0)</f>
        <v>0</v>
      </c>
      <c r="Z656" s="112" t="n">
        <f aca="false">Z655+IF($H562&lt;&gt;"",1,0)</f>
        <v>0</v>
      </c>
      <c r="AA656" s="300" t="n">
        <f aca="false">IF($BY656&lt;=U$615,MATCH($BY656,U$617:U$737,0))</f>
        <v>0</v>
      </c>
      <c r="AB656" s="112" t="n">
        <f aca="false">IF($BY656&lt;=V$615,MATCH($BY656,V$617:V$737,0))</f>
        <v>0</v>
      </c>
      <c r="AC656" s="112" t="n">
        <f aca="false">IF($BY656&lt;=W$615,MATCH($BY656,W$617:W$737,0))</f>
        <v>0</v>
      </c>
      <c r="AD656" s="112" t="n">
        <f aca="false">IF($BY656&lt;=X$615,MATCH($BY656,X$617:X$737,0))</f>
        <v>0</v>
      </c>
      <c r="AE656" s="112" t="n">
        <f aca="false">IF($BY656&lt;=Y$615,MATCH($BY656,Y$617:Y$737,0))</f>
        <v>0</v>
      </c>
      <c r="AF656" s="324" t="n">
        <f aca="false">IF($BY656&lt;=Z$615,MATCH($BY656,Z$617:Z$737,0))</f>
        <v>0</v>
      </c>
      <c r="AG656" s="325" t="str">
        <f aca="true">IF(AND(AA656&lt;="",AP47=""),OFFSET(Spells!H$2,AA656,0),"")</f>
        <v>Effect</v>
      </c>
      <c r="AH656" s="325" t="str">
        <f aca="true">IF(AND(AB656&lt;="",AP47=""),OFFSET(Spells!R$2,AB656,0),"")</f>
        <v>Effect</v>
      </c>
      <c r="AI656" s="325" t="str">
        <f aca="true">IF(AND(AC656&lt;="",AP47=""),OFFSET(Spells!AB$2,AC656,0),"")</f>
        <v>Effect</v>
      </c>
      <c r="AJ656" s="326" t="str">
        <f aca="true">IF(AND(AD656&lt;="",AP47=""),OFFSET(Spells!AL$2,AD656,0),"")</f>
        <v>Effect</v>
      </c>
      <c r="AK656" s="326" t="str">
        <f aca="true">IF(AND(AE656&lt;="",AP47=""),OFFSET(Spells!AV$2,AE656,0),"")</f>
        <v>Effect</v>
      </c>
      <c r="AL656" s="325" t="str">
        <f aca="true">IF(AND(AF656&lt;="",AP47=""),OFFSET(Spells!$H$2,AF656,0),"")</f>
        <v>Effect</v>
      </c>
      <c r="AM656" s="335" t="str">
        <f aca="false">IF(G75&lt;&gt;"",G75," ")</f>
        <v> </v>
      </c>
      <c r="AN656" s="175" t="n">
        <f aca="false">IF(AM656&gt;0, I75, 0)</f>
        <v>0</v>
      </c>
      <c r="AO656" s="175" t="n">
        <f aca="true">OFFSET(Cost_9_12,AN656,0)</f>
        <v>0</v>
      </c>
      <c r="AP656" s="175" t="n">
        <f aca="false">AP655+IF(AND(AM656&lt;&gt;" ",AN656&gt;0),1,0)</f>
        <v>5</v>
      </c>
      <c r="AQ656" s="289"/>
      <c r="AR656" s="327" t="str">
        <f aca="false">K91&amp;IF(Q91&lt;&gt;""," ("&amp;Q91&amp;")","")</f>
        <v>Avoid Blow</v>
      </c>
      <c r="AS656" s="112" t="n">
        <f aca="false">O91</f>
        <v>0</v>
      </c>
      <c r="AT656" s="112" t="n">
        <f aca="true">OFFSET(CostSkill,AS656,0)-OFFSET(CostSkill,N91,0)</f>
        <v>0</v>
      </c>
      <c r="AU656" s="112" t="str">
        <f aca="false">P91</f>
        <v>D</v>
      </c>
      <c r="AV656" s="112" t="n">
        <f aca="false">AV655+IF(AND(AR656&lt;&gt;" ",AS656&gt;0),1,0)</f>
        <v>7</v>
      </c>
      <c r="AW656" s="112"/>
      <c r="AX656" s="327" t="str">
        <f aca="false">IF(Discipline1&lt;&gt;"",HLOOKUP(Discipline1,knackfordic,BY653)," ")</f>
        <v>Swinging Move</v>
      </c>
      <c r="AY656" s="329" t="n">
        <f aca="false">MATCH(AX656,Talents!G$3:G$210)</f>
        <v>165</v>
      </c>
      <c r="AZ656" s="329" t="str">
        <f aca="true">IF(AY656,OFFSET(Talents!H$2,Build!AY656,0)," ")</f>
        <v>Climbing</v>
      </c>
      <c r="BA656" s="112" t="str">
        <f aca="true">IF(AY656,OFFSET(Talents!J$2,Build!AY656,0)," ")</f>
        <v>0+*</v>
      </c>
      <c r="BB656" s="112" t="n">
        <f aca="true">IF(AY656,OFFSET(Talents!I$2,Build!AY656,0)," ")</f>
        <v>3</v>
      </c>
      <c r="BC656" s="112" t="n">
        <f aca="true">IF(AY656,OFFSET(Talents!K$2,Build!AY656,0)," ")</f>
        <v>800</v>
      </c>
      <c r="BD656" s="112" t="n">
        <f aca="true">IF(AX$663=" ",OFFSET(E$615,MATCH(AZ656,D$616:D$656,0),0),IF(ISERROR(MATCH(AZ656,D$657:D$697,0)),OFFSET(E$615,MATCH(AZ656,D$616:D$656,0),0),IF(OFFSET(E$615,MATCH(AZ656,D$616:D$656,0),0)&gt;OFFSET(E$656,MATCH(AZ656,D$657:D$697,0),0),OFFSET(E$615,MATCH(AZ656,D$616:D$656,0),0),OFFSET(E$656,MATCH(AZ656,D$657:D$697,0),0))))</f>
        <v>5</v>
      </c>
      <c r="BE656" s="112" t="n">
        <f aca="false">BE655+IF(ISERROR(BD656), 0, IF(BD656&gt;=BB656, 1, 0))</f>
        <v>20</v>
      </c>
      <c r="BF656" s="324" t="n">
        <f aca="false">IF($BY656&lt;=BF$615,MATCH(BY656,BE$617:BE$681,0))</f>
        <v>0</v>
      </c>
      <c r="BG656" s="42"/>
      <c r="BJ656" s="327" t="str">
        <f aca="false">IF(P219&lt;&gt;"",M219," ")</f>
        <v> </v>
      </c>
      <c r="BK656" s="112" t="n">
        <f aca="false">IF(P219="",0,Q219)</f>
        <v>0</v>
      </c>
      <c r="BL656" s="112" t="n">
        <f aca="false">BL655+IF(BJ656&lt;&gt;" ",BK656,0)</f>
        <v>2</v>
      </c>
      <c r="BM656" s="112" t="n">
        <f aca="false">R219</f>
        <v>0</v>
      </c>
      <c r="BN656" s="112" t="n">
        <f aca="false">BN655+IF(BJ656&lt;&gt;" ",BM656,0)</f>
        <v>0</v>
      </c>
      <c r="BO656" s="329" t="str">
        <f aca="false">BO657&amp;IF(BJ656&lt;&gt;" ",", "&amp;BJ656&amp;" ("&amp;BK656&amp;")","")</f>
        <v>, Karma (3), Horror Fend (3)</v>
      </c>
      <c r="BP656" s="327" t="n">
        <f aca="false">BP655+IF(BJ656&lt;&gt;" ",1,0)</f>
        <v>1</v>
      </c>
      <c r="BQ656" s="332"/>
      <c r="BY656" s="333" t="n">
        <f aca="false">BY655+1</f>
        <v>40</v>
      </c>
      <c r="BZ656" s="329" t="str">
        <f aca="false">N242</f>
        <v>Hosiery, Silk</v>
      </c>
      <c r="CA656" s="112" t="n">
        <f aca="false">Q242</f>
        <v>0</v>
      </c>
      <c r="CB656" s="112" t="n">
        <f aca="false">R242</f>
        <v>20</v>
      </c>
      <c r="CC656" s="112" t="s">
        <v>301</v>
      </c>
      <c r="CD656" s="329" t="n">
        <f aca="false">FIND(",",BZ656)</f>
        <v>8</v>
      </c>
      <c r="CE656" s="329" t="str">
        <f aca="false">IF(ISERROR(CD656),BZ656,MID(BZ656,CD656+2,20)&amp;" "&amp;LEFT(BZ656,CD656-1))&amp;IF(ISERROR(VALUE(CA656)),"",IF(CA656&gt;1," ("&amp;CA656&amp;")",""))</f>
        <v>Silk Hosiery</v>
      </c>
      <c r="CF656" s="329" t="str">
        <f aca="false">IF(CC656=" "," ",IF(ISERROR(VALUE(CA656)),CC656,CA656*CC656))</f>
        <v> </v>
      </c>
      <c r="CG656" s="112" t="n">
        <f aca="false">CG655+IF(AND(BZ656&lt;&gt;0,CA656&lt;&gt;0),1,0)</f>
        <v>4</v>
      </c>
      <c r="CH656" s="112" t="n">
        <f aca="false">IF($BY656&lt;=CH$615,MATCH($BY656,CG$617:CG$863,0))</f>
        <v>0</v>
      </c>
    </row>
    <row r="657" s="32" customFormat="true" ht="12.75" hidden="false" customHeight="false" outlineLevel="0" collapsed="false">
      <c r="B657" s="279" t="n">
        <v>1</v>
      </c>
      <c r="C657" s="67" t="str">
        <f aca="false">IF(AND(Discipline2&lt;&gt;"",Circle2&gt;=$B657),HLOOKUP(Discipline2,talentfordisc,1+BY617,0)," ")</f>
        <v> </v>
      </c>
      <c r="D657" s="67" t="str">
        <f aca="false">IF(RIGHT(C657, 3)="(D)",LEFT(C657,LEN(C657)-4),C657)</f>
        <v> </v>
      </c>
      <c r="E657" s="64" t="n">
        <f aca="false">W17</f>
        <v>0</v>
      </c>
      <c r="F657" s="182" t="n">
        <f aca="true">OFFSET(Cost_5_8,E657,0)</f>
        <v>0</v>
      </c>
      <c r="G657" s="64" t="n">
        <f aca="false">IF(C657&lt;&gt;" ",MATCH(D657,Talents!B$3:B$345,1),0)</f>
        <v>0</v>
      </c>
      <c r="H657" s="64" t="str">
        <f aca="true">IF(G657=0," ",OFFSET(Talents!C$2,G657,0))</f>
        <v> </v>
      </c>
      <c r="I657" s="64" t="n">
        <f aca="false">IF(E657&gt;0,X17,0)</f>
        <v>0</v>
      </c>
      <c r="J657" s="64" t="str">
        <f aca="false">IF(H657&lt;&gt;" ",E657+VLOOKUP(H657,G$597:L$603,6,0)+I657," ")</f>
        <v> </v>
      </c>
      <c r="K657" s="64" t="str">
        <f aca="true">IF(J657&lt;&gt;" ",OFFSET(ActionDice,J657,0),"-")</f>
        <v>-</v>
      </c>
      <c r="L657" s="67" t="n">
        <f aca="false">OR(RIGHT(C657, 3)="(D)", NOT(ISERROR(MATCH(D657&amp;" (D)", C$657:C$697, 0))))</f>
        <v>0</v>
      </c>
      <c r="M657" s="64" t="str">
        <f aca="true">IF(G657&gt;0,IF(L657,"D",OFFSET(Talents!D$2,G657,0))&amp;OFFSET(Talents!E$2,G657,0)," ")</f>
        <v> </v>
      </c>
      <c r="N657" s="64" t="n">
        <f aca="false">AND(Z17="",C657&lt;&gt;" ")</f>
        <v>0</v>
      </c>
      <c r="O657" s="300" t="n">
        <f aca="false">O656+IF(N656,1,0)</f>
        <v>18</v>
      </c>
      <c r="P657" s="324" t="n">
        <f aca="false">IF(Build!$BY657&lt;=Build!P$615,MATCH(Build!$BY657,Build!O$617:O$714,0))</f>
        <v>0</v>
      </c>
      <c r="Q657" s="112" t="n">
        <f aca="false">Q656+IF(E230&lt;&gt;"",1,0)</f>
        <v>2</v>
      </c>
      <c r="R657" s="112"/>
      <c r="S657" s="112" t="n">
        <f aca="false">S656+IF(E155&lt;&gt;"",1,0)</f>
        <v>2</v>
      </c>
      <c r="T657" s="112"/>
      <c r="U657" s="300" t="n">
        <f aca="false">U656+IF(H403&lt;&gt;"",1,0)</f>
        <v>0</v>
      </c>
      <c r="V657" s="112" t="n">
        <f aca="false">V656+IF(H435&lt;&gt;"",1,0)</f>
        <v>0</v>
      </c>
      <c r="W657" s="112" t="n">
        <f aca="false">W656+IF(H467&lt;&gt;"",1,0)</f>
        <v>0</v>
      </c>
      <c r="X657" s="112" t="n">
        <f aca="false">X656+IF(H499&lt;&gt;"",1,0)</f>
        <v>0</v>
      </c>
      <c r="Y657" s="112" t="n">
        <f aca="false">Y656+IF(H531&lt;&gt;"",1,0)</f>
        <v>0</v>
      </c>
      <c r="Z657" s="112" t="n">
        <f aca="false">Z656+IF($H563&lt;&gt;"",1,0)</f>
        <v>0</v>
      </c>
      <c r="AA657" s="300" t="n">
        <f aca="false">IF($BY657&lt;=U$615,MATCH($BY657,U$617:U$737,0))</f>
        <v>0</v>
      </c>
      <c r="AB657" s="112" t="n">
        <f aca="false">IF($BY657&lt;=V$615,MATCH($BY657,V$617:V$737,0))</f>
        <v>0</v>
      </c>
      <c r="AC657" s="112" t="n">
        <f aca="false">IF($BY657&lt;=W$615,MATCH($BY657,W$617:W$737,0))</f>
        <v>0</v>
      </c>
      <c r="AD657" s="112" t="n">
        <f aca="false">IF($BY657&lt;=X$615,MATCH($BY657,X$617:X$737,0))</f>
        <v>0</v>
      </c>
      <c r="AE657" s="112" t="n">
        <f aca="false">IF($BY657&lt;=Y$615,MATCH($BY657,Y$617:Y$737,0))</f>
        <v>0</v>
      </c>
      <c r="AF657" s="324" t="n">
        <f aca="false">IF($BY657&lt;=Z$615,MATCH($BY657,Z$617:Z$737,0))</f>
        <v>0</v>
      </c>
      <c r="AG657" s="325" t="str">
        <f aca="true">IF(AND(AA657&lt;="",AP48=""),OFFSET(Spells!H$2,AA657,0),"")</f>
        <v>Effect</v>
      </c>
      <c r="AH657" s="325" t="str">
        <f aca="true">IF(AND(AB657&lt;="",AP48=""),OFFSET(Spells!R$2,AB657,0),"")</f>
        <v>Effect</v>
      </c>
      <c r="AI657" s="325" t="str">
        <f aca="true">IF(AND(AC657&lt;="",AP48=""),OFFSET(Spells!AB$2,AC657,0),"")</f>
        <v>Effect</v>
      </c>
      <c r="AJ657" s="326" t="str">
        <f aca="true">IF(AND(AD657&lt;="",AP48=""),OFFSET(Spells!AL$2,AD657,0),"")</f>
        <v>Effect</v>
      </c>
      <c r="AK657" s="326" t="str">
        <f aca="true">IF(AND(AE657&lt;="",AP48=""),OFFSET(Spells!AV$2,AE657,0),"")</f>
        <v>Effect</v>
      </c>
      <c r="AL657" s="325" t="str">
        <f aca="true">IF(AND(AF657&lt;="",AP48=""),OFFSET(Spells!$H$2,AF657,0),"")</f>
        <v>Effect</v>
      </c>
      <c r="AM657" s="56"/>
      <c r="AN657" s="42"/>
      <c r="AO657" s="42"/>
      <c r="AP657" s="42"/>
      <c r="AQ657" s="340"/>
      <c r="AR657" s="327" t="str">
        <f aca="false">K92&amp;IF(Q92&lt;&gt;""," ("&amp;Q92&amp;")","")</f>
        <v>Battle Bellow</v>
      </c>
      <c r="AS657" s="112" t="n">
        <f aca="false">O92</f>
        <v>0</v>
      </c>
      <c r="AT657" s="112" t="n">
        <f aca="true">OFFSET(CostSkill,AS657,0)-OFFSET(CostSkill,N92,0)</f>
        <v>0</v>
      </c>
      <c r="AU657" s="112" t="str">
        <f aca="false">P92</f>
        <v>C</v>
      </c>
      <c r="AV657" s="112" t="n">
        <f aca="false">AV656+IF(AND(AR657&lt;&gt;" ",AS657&gt;0),1,0)</f>
        <v>7</v>
      </c>
      <c r="AW657" s="112"/>
      <c r="AX657" s="327" t="str">
        <f aca="false">IF(Discipline1&lt;&gt;"",HLOOKUP(Discipline1,knackfordic,BY654)," ")</f>
        <v>Tale of Terror</v>
      </c>
      <c r="AY657" s="329" t="n">
        <f aca="false">MATCH(AX657,Talents!G$3:G$210)</f>
        <v>167</v>
      </c>
      <c r="AZ657" s="329" t="str">
        <f aca="true">IF(AY657,OFFSET(Talents!H$2,Build!AY657,0)," ")</f>
        <v>Creature Analysis</v>
      </c>
      <c r="BA657" s="112" t="n">
        <f aca="true">IF(AY657,OFFSET(Talents!J$2,Build!AY657,0)," ")</f>
        <v>2</v>
      </c>
      <c r="BB657" s="112" t="n">
        <f aca="true">IF(AY657,OFFSET(Talents!I$2,Build!AY657,0)," ")</f>
        <v>5</v>
      </c>
      <c r="BC657" s="112" t="n">
        <f aca="true">IF(AY657,OFFSET(Talents!K$2,Build!AY657,0)," ")</f>
        <v>2100</v>
      </c>
      <c r="BD657" s="112" t="e">
        <f aca="true">IF(AX$663=" ",OFFSET(E$615,MATCH(AZ657,D$616:D$656,0),0),IF(ISERROR(MATCH(AZ657,D$657:D$697,0)),OFFSET(E$615,MATCH(AZ657,D$616:D$656,0),0),IF(OFFSET(E$615,MATCH(AZ657,D$616:D$656,0),0)&gt;OFFSET(E$656,MATCH(AZ657,D$657:D$697,0),0),OFFSET(E$615,MATCH(AZ657,D$616:D$656,0),0),OFFSET(E$656,MATCH(AZ657,D$657:D$697,0),0))))</f>
        <v>#N/A</v>
      </c>
      <c r="BE657" s="112" t="n">
        <f aca="false">BE656+IF(ISERROR(BD657), 0, IF(BD657&gt;=BB657, 1, 0))</f>
        <v>20</v>
      </c>
      <c r="BF657" s="324" t="n">
        <f aca="false">IF($BY657&lt;=BF$615,MATCH(BY657,BE$617:BE$681,0))</f>
        <v>0</v>
      </c>
      <c r="BG657" s="42"/>
      <c r="BJ657" s="327" t="str">
        <f aca="false">IF(P220&lt;&gt;"",M220," ")</f>
        <v> </v>
      </c>
      <c r="BK657" s="112" t="n">
        <f aca="false">IF(P220="",0,Q220)</f>
        <v>0</v>
      </c>
      <c r="BL657" s="112" t="n">
        <f aca="false">BL656+IF(BJ657&lt;&gt;" ",BK657,0)</f>
        <v>2</v>
      </c>
      <c r="BM657" s="112" t="n">
        <f aca="false">R220</f>
        <v>1</v>
      </c>
      <c r="BN657" s="112" t="n">
        <f aca="false">BN656+IF(BJ657&lt;&gt;" ",BM657,0)</f>
        <v>0</v>
      </c>
      <c r="BO657" s="329" t="str">
        <f aca="false">BO658&amp;IF(BJ657&lt;&gt;" ",", "&amp;BJ657&amp;" ("&amp;BK657&amp;")","")</f>
        <v>, Karma (3), Horror Fend (3)</v>
      </c>
      <c r="BP657" s="327" t="n">
        <f aca="false">BP656+IF(BJ657&lt;&gt;" ",1,0)</f>
        <v>1</v>
      </c>
      <c r="BQ657" s="332"/>
      <c r="BY657" s="333" t="n">
        <f aca="false">BY656+1</f>
        <v>41</v>
      </c>
      <c r="BZ657" s="329" t="str">
        <f aca="false">N243</f>
        <v>Jacket, Wool</v>
      </c>
      <c r="CA657" s="112" t="n">
        <f aca="false">Q243</f>
        <v>0</v>
      </c>
      <c r="CB657" s="112" t="n">
        <f aca="false">R243</f>
        <v>12</v>
      </c>
      <c r="CC657" s="112" t="s">
        <v>301</v>
      </c>
      <c r="CD657" s="329" t="n">
        <f aca="false">FIND(",",BZ657)</f>
        <v>7</v>
      </c>
      <c r="CE657" s="329" t="str">
        <f aca="false">IF(ISERROR(CD657),BZ657,MID(BZ657,CD657+2,20)&amp;" "&amp;LEFT(BZ657,CD657-1))&amp;IF(ISERROR(VALUE(CA657)),"",IF(CA657&gt;1," ("&amp;CA657&amp;")",""))</f>
        <v>Wool Jacket</v>
      </c>
      <c r="CF657" s="329" t="str">
        <f aca="false">IF(CC657=" "," ",IF(ISERROR(VALUE(CA657)),CC657,CA657*CC657))</f>
        <v> </v>
      </c>
      <c r="CG657" s="112" t="n">
        <f aca="false">CG656+IF(AND(BZ657&lt;&gt;0,CA657&lt;&gt;0),1,0)</f>
        <v>4</v>
      </c>
      <c r="CH657" s="112" t="n">
        <f aca="false">IF($BY657&lt;=CH$615,MATCH($BY657,CG$617:CG$863,0))</f>
        <v>0</v>
      </c>
    </row>
    <row r="658" s="32" customFormat="true" ht="12.75" hidden="false" customHeight="false" outlineLevel="0" collapsed="false">
      <c r="B658" s="279" t="n">
        <v>1</v>
      </c>
      <c r="C658" s="67" t="str">
        <f aca="false">IF(AND(Discipline2&lt;&gt;"",Circle2&gt;=$B658),HLOOKUP(Discipline2,talentfordisc,1+BY618,0)," ")</f>
        <v> </v>
      </c>
      <c r="D658" s="67" t="str">
        <f aca="false">IF(RIGHT(C658, 3)="(D)",LEFT(C658,LEN(C658)-4),C658)</f>
        <v> </v>
      </c>
      <c r="E658" s="64" t="n">
        <f aca="false">W18</f>
        <v>0</v>
      </c>
      <c r="F658" s="182" t="n">
        <f aca="true">OFFSET(Cost_5_8,E658,0)</f>
        <v>0</v>
      </c>
      <c r="G658" s="64" t="n">
        <f aca="false">IF(C658&lt;&gt;" ",MATCH(D658,Talents!B$3:B$345,1),0)</f>
        <v>0</v>
      </c>
      <c r="H658" s="64" t="str">
        <f aca="true">IF(G658=0," ",OFFSET(Talents!C$2,G658,0))</f>
        <v> </v>
      </c>
      <c r="I658" s="64" t="n">
        <f aca="false">IF(E658&gt;0,X18,0)</f>
        <v>0</v>
      </c>
      <c r="J658" s="64" t="str">
        <f aca="false">IF(H658&lt;&gt;" ",E658+VLOOKUP(H658,G$597:L$603,6,0)+I658," ")</f>
        <v> </v>
      </c>
      <c r="K658" s="64" t="str">
        <f aca="true">IF(J658&lt;&gt;" ",OFFSET(ActionDice,J658,0),"-")</f>
        <v>-</v>
      </c>
      <c r="L658" s="67" t="n">
        <f aca="false">OR(RIGHT(C658, 3)="(D)", NOT(ISERROR(MATCH(D658&amp;" (D)", C$657:C$697, 0))))</f>
        <v>0</v>
      </c>
      <c r="M658" s="64" t="str">
        <f aca="true">IF(G658&gt;0,IF(L658,"D",OFFSET(Talents!D$2,G658,0))&amp;OFFSET(Talents!E$2,G658,0)," ")</f>
        <v> </v>
      </c>
      <c r="N658" s="64" t="n">
        <f aca="false">AND(Z18="",C658&lt;&gt;" ")</f>
        <v>0</v>
      </c>
      <c r="O658" s="300" t="n">
        <f aca="false">O657+IF(N657,1,0)</f>
        <v>18</v>
      </c>
      <c r="P658" s="324" t="n">
        <f aca="false">IF(Build!$BY658&lt;=Build!P$615,MATCH(Build!$BY658,Build!O$617:O$714,0))</f>
        <v>0</v>
      </c>
      <c r="Q658" s="112" t="n">
        <f aca="false">Q657+IF(E231&lt;&gt;"",1,0)</f>
        <v>2</v>
      </c>
      <c r="R658" s="112"/>
      <c r="S658" s="112" t="n">
        <f aca="false">S657+IF(E156&lt;&gt;"",1,0)</f>
        <v>2</v>
      </c>
      <c r="T658" s="112"/>
      <c r="U658" s="300" t="n">
        <f aca="false">U657+IF(H404&lt;&gt;"",1,0)</f>
        <v>0</v>
      </c>
      <c r="V658" s="112" t="n">
        <f aca="false">V657+IF(H436&lt;&gt;"",1,0)</f>
        <v>0</v>
      </c>
      <c r="W658" s="112" t="n">
        <f aca="false">W657+IF(H468&lt;&gt;"",1,0)</f>
        <v>0</v>
      </c>
      <c r="X658" s="112" t="n">
        <f aca="false">X657+IF(H500&lt;&gt;"",1,0)</f>
        <v>0</v>
      </c>
      <c r="Y658" s="112" t="n">
        <f aca="false">Y657+IF(H532&lt;&gt;"",1,0)</f>
        <v>0</v>
      </c>
      <c r="Z658" s="112" t="n">
        <f aca="false">Z657+IF($H564&lt;&gt;"",1,0)</f>
        <v>0</v>
      </c>
      <c r="AA658" s="300" t="n">
        <f aca="false">IF($BY658&lt;=U$615,MATCH($BY658,U$617:U$737,0))</f>
        <v>0</v>
      </c>
      <c r="AB658" s="112" t="n">
        <f aca="false">IF($BY658&lt;=V$615,MATCH($BY658,V$617:V$737,0))</f>
        <v>0</v>
      </c>
      <c r="AC658" s="112" t="n">
        <f aca="false">IF($BY658&lt;=W$615,MATCH($BY658,W$617:W$737,0))</f>
        <v>0</v>
      </c>
      <c r="AD658" s="112" t="n">
        <f aca="false">IF($BY658&lt;=X$615,MATCH($BY658,X$617:X$737,0))</f>
        <v>0</v>
      </c>
      <c r="AE658" s="112" t="n">
        <f aca="false">IF($BY658&lt;=Y$615,MATCH($BY658,Y$617:Y$737,0))</f>
        <v>0</v>
      </c>
      <c r="AF658" s="324" t="n">
        <f aca="false">IF($BY658&lt;=Z$615,MATCH($BY658,Z$617:Z$737,0))</f>
        <v>0</v>
      </c>
      <c r="AG658" s="325" t="str">
        <f aca="true">IF(AND(AA658&lt;="",AP49=""),OFFSET(Spells!H$2,AA658,0),"")</f>
        <v>Effect</v>
      </c>
      <c r="AH658" s="325" t="str">
        <f aca="true">IF(AND(AB658&lt;="",AP49=""),OFFSET(Spells!R$2,AB658,0),"")</f>
        <v>Effect</v>
      </c>
      <c r="AI658" s="325" t="str">
        <f aca="true">IF(AND(AC658&lt;="",AP49=""),OFFSET(Spells!AB$2,AC658,0),"")</f>
        <v>Effect</v>
      </c>
      <c r="AJ658" s="326" t="str">
        <f aca="true">IF(AND(AD658&lt;="",AP49=""),OFFSET(Spells!AL$2,AD658,0),"")</f>
        <v>Effect</v>
      </c>
      <c r="AK658" s="326" t="str">
        <f aca="true">IF(AND(AE658&lt;="",AP49=""),OFFSET(Spells!AV$2,AE658,0),"")</f>
        <v>Effect</v>
      </c>
      <c r="AL658" s="325" t="str">
        <f aca="true">IF(AND(AF658&lt;="",AP49=""),OFFSET(Spells!$H$2,AF658,0),"")</f>
        <v>Effect</v>
      </c>
      <c r="AM658" s="56"/>
      <c r="AN658" s="42"/>
      <c r="AO658" s="42"/>
      <c r="AP658" s="42"/>
      <c r="AQ658" s="340"/>
      <c r="AR658" s="327" t="str">
        <f aca="false">K93&amp;IF(Q93&lt;&gt;""," ("&amp;Q93&amp;")","")</f>
        <v>Battle Shout</v>
      </c>
      <c r="AS658" s="112" t="n">
        <f aca="false">O93</f>
        <v>0</v>
      </c>
      <c r="AT658" s="112" t="n">
        <f aca="true">OFFSET(CostSkill,AS658,0)-OFFSET(CostSkill,N93,0)</f>
        <v>0</v>
      </c>
      <c r="AU658" s="112" t="str">
        <f aca="false">P93</f>
        <v>C</v>
      </c>
      <c r="AV658" s="112" t="n">
        <f aca="false">AV657+IF(AND(AR658&lt;&gt;" ",AS658&gt;0),1,0)</f>
        <v>7</v>
      </c>
      <c r="AW658" s="112"/>
      <c r="AX658" s="327" t="str">
        <f aca="false">IF(Discipline1&lt;&gt;"",HLOOKUP(Discipline1,knackfordic,BY655)," ")</f>
        <v>Talent Pattern</v>
      </c>
      <c r="AY658" s="329" t="n">
        <f aca="false">MATCH(AX658,Talents!G$3:G$210)</f>
        <v>169</v>
      </c>
      <c r="AZ658" s="329" t="str">
        <f aca="true">IF(AY658,OFFSET(Talents!H$2,Build!AY658,0)," ")</f>
        <v>Thread Weaving*</v>
      </c>
      <c r="BA658" s="112" t="n">
        <f aca="true">IF(AY658,OFFSET(Talents!J$2,Build!AY658,0)," ")</f>
        <v>2</v>
      </c>
      <c r="BB658" s="112" t="n">
        <f aca="true">IF(AY658,OFFSET(Talents!I$2,Build!AY658,0)," ")</f>
        <v>11</v>
      </c>
      <c r="BC658" s="112" t="n">
        <f aca="true">IF(AY658,OFFSET(Talents!K$2,Build!AY658,0)," ")</f>
        <v>37700</v>
      </c>
      <c r="BD658" s="112" t="n">
        <f aca="true">IF(AX$663=" ",OFFSET(E$615,MATCH(AZ658,D$616:D$656,0),0),IF(ISERROR(MATCH(AZ658,D$657:D$697,0)),OFFSET(E$615,MATCH(AZ658,D$616:D$656,0),0),IF(OFFSET(E$615,MATCH(AZ658,D$616:D$656,0),0)&gt;OFFSET(E$656,MATCH(AZ658,D$657:D$697,0),0),OFFSET(E$615,MATCH(AZ658,D$616:D$656,0),0),OFFSET(E$656,MATCH(AZ658,D$657:D$697,0),0))))</f>
        <v>6</v>
      </c>
      <c r="BE658" s="112" t="n">
        <f aca="false">BE657+IF(ISERROR(BD658), 0, IF(BD658&gt;=BB658, 1, 0))</f>
        <v>20</v>
      </c>
      <c r="BF658" s="324" t="n">
        <f aca="false">IF($BY658&lt;=BF$615,MATCH(BY658,BE$617:BE$681,0))</f>
        <v>0</v>
      </c>
      <c r="BG658" s="42"/>
      <c r="BJ658" s="327" t="str">
        <f aca="false">IF(P221&lt;&gt;"",M221," ")</f>
        <v>Horror Fend</v>
      </c>
      <c r="BK658" s="112" t="n">
        <f aca="false">IF(P221="",0,Q221)</f>
        <v>3</v>
      </c>
      <c r="BL658" s="112" t="n">
        <f aca="false">BL657+IF(BJ658&lt;&gt;" ",BK658,0)</f>
        <v>5</v>
      </c>
      <c r="BM658" s="112" t="n">
        <f aca="false">R221</f>
        <v>0</v>
      </c>
      <c r="BN658" s="112" t="n">
        <f aca="false">BN657+IF(BJ658&lt;&gt;" ",BM658,0)</f>
        <v>0</v>
      </c>
      <c r="BO658" s="329" t="str">
        <f aca="false">BO659&amp;IF(BJ658&lt;&gt;" ",", "&amp;BJ658&amp;" ("&amp;BK658&amp;")","")</f>
        <v>, Karma (3), Horror Fend (3)</v>
      </c>
      <c r="BP658" s="327" t="n">
        <f aca="false">BP657+IF(BJ658&lt;&gt;" ",1,0)</f>
        <v>2</v>
      </c>
      <c r="BQ658" s="332"/>
      <c r="BY658" s="333" t="n">
        <f aca="false">BY657+1</f>
        <v>42</v>
      </c>
      <c r="BZ658" s="329" t="str">
        <f aca="false">N244</f>
        <v>Jacket, Silk</v>
      </c>
      <c r="CA658" s="112" t="n">
        <f aca="false">Q244</f>
        <v>0</v>
      </c>
      <c r="CB658" s="112" t="n">
        <f aca="false">R244</f>
        <v>90</v>
      </c>
      <c r="CC658" s="112" t="s">
        <v>301</v>
      </c>
      <c r="CD658" s="329" t="n">
        <f aca="false">FIND(",",BZ658)</f>
        <v>7</v>
      </c>
      <c r="CE658" s="329" t="str">
        <f aca="false">IF(ISERROR(CD658),BZ658,MID(BZ658,CD658+2,20)&amp;" "&amp;LEFT(BZ658,CD658-1))&amp;IF(ISERROR(VALUE(CA658)),"",IF(CA658&gt;1," ("&amp;CA658&amp;")",""))</f>
        <v>Silk Jacket</v>
      </c>
      <c r="CF658" s="329" t="str">
        <f aca="false">IF(CC658=" "," ",IF(ISERROR(VALUE(CA658)),CC658,CA658*CC658))</f>
        <v> </v>
      </c>
      <c r="CG658" s="112" t="n">
        <f aca="false">CG657+IF(AND(BZ658&lt;&gt;0,CA658&lt;&gt;0),1,0)</f>
        <v>4</v>
      </c>
      <c r="CH658" s="112" t="n">
        <f aca="false">IF($BY658&lt;=CH$615,MATCH($BY658,CG$617:CG$863,0))</f>
        <v>0</v>
      </c>
    </row>
    <row r="659" s="32" customFormat="true" ht="12.75" hidden="false" customHeight="false" outlineLevel="0" collapsed="false">
      <c r="B659" s="279" t="n">
        <v>1</v>
      </c>
      <c r="C659" s="67" t="str">
        <f aca="false">IF(AND(Discipline2&lt;&gt;"",Circle2&gt;=$B659),HLOOKUP(Discipline2,talentfordisc,1+BY619,0)," ")</f>
        <v> </v>
      </c>
      <c r="D659" s="67" t="str">
        <f aca="false">IF(RIGHT(C659, 3)="(D)",LEFT(C659,LEN(C659)-4),C659)</f>
        <v> </v>
      </c>
      <c r="E659" s="64" t="n">
        <f aca="false">W19</f>
        <v>0</v>
      </c>
      <c r="F659" s="182" t="n">
        <f aca="true">OFFSET(Cost_5_8,E659,0)</f>
        <v>0</v>
      </c>
      <c r="G659" s="64" t="n">
        <f aca="false">IF(C659&lt;&gt;" ",MATCH(D659,Talents!B$3:B$345,1),0)</f>
        <v>0</v>
      </c>
      <c r="H659" s="64" t="str">
        <f aca="true">IF(G659=0," ",OFFSET(Talents!C$2,G659,0))</f>
        <v> </v>
      </c>
      <c r="I659" s="64" t="n">
        <f aca="false">IF(E659&gt;0,X19,0)</f>
        <v>0</v>
      </c>
      <c r="J659" s="64" t="str">
        <f aca="false">IF(H659&lt;&gt;" ",E659+VLOOKUP(H659,G$597:L$603,6,0)+I659," ")</f>
        <v> </v>
      </c>
      <c r="K659" s="64" t="str">
        <f aca="true">IF(J659&lt;&gt;" ",OFFSET(ActionDice,J659,0),"-")</f>
        <v>-</v>
      </c>
      <c r="L659" s="67" t="n">
        <f aca="false">OR(RIGHT(C659, 3)="(D)", NOT(ISERROR(MATCH(D659&amp;" (D)", C$657:C$697, 0))))</f>
        <v>0</v>
      </c>
      <c r="M659" s="64" t="str">
        <f aca="true">IF(G659&gt;0,IF(L659,"D",OFFSET(Talents!D$2,G659,0))&amp;OFFSET(Talents!E$2,G659,0)," ")</f>
        <v> </v>
      </c>
      <c r="N659" s="64" t="n">
        <f aca="false">AND(Z19="",C659&lt;&gt;" ")</f>
        <v>0</v>
      </c>
      <c r="O659" s="300" t="n">
        <f aca="false">O658+IF(N658,1,0)</f>
        <v>18</v>
      </c>
      <c r="P659" s="324" t="n">
        <f aca="false">IF(Build!$BY659&lt;=Build!P$615,MATCH(Build!$BY659,Build!O$617:O$714,0))</f>
        <v>0</v>
      </c>
      <c r="Q659" s="112" t="n">
        <f aca="false">Q658+IF(E232&lt;&gt;"",1,0)</f>
        <v>2</v>
      </c>
      <c r="R659" s="112"/>
      <c r="S659" s="112" t="n">
        <f aca="false">S658+IF(E157&lt;&gt;"",1,0)</f>
        <v>2</v>
      </c>
      <c r="T659" s="112"/>
      <c r="U659" s="300" t="n">
        <f aca="false">U658+IF(H405&lt;&gt;"",1,0)</f>
        <v>0</v>
      </c>
      <c r="V659" s="112" t="n">
        <f aca="false">V658+IF(H437&lt;&gt;"",1,0)</f>
        <v>0</v>
      </c>
      <c r="W659" s="112" t="n">
        <f aca="false">W658+IF(H469&lt;&gt;"",1,0)</f>
        <v>0</v>
      </c>
      <c r="X659" s="112" t="n">
        <f aca="false">X658+IF(H501&lt;&gt;"",1,0)</f>
        <v>0</v>
      </c>
      <c r="Y659" s="112" t="n">
        <f aca="false">Y658+IF(H533&lt;&gt;"",1,0)</f>
        <v>0</v>
      </c>
      <c r="Z659" s="112" t="n">
        <f aca="false">Z658+IF($H565&lt;&gt;"",1,0)</f>
        <v>0</v>
      </c>
      <c r="AA659" s="300" t="n">
        <f aca="false">IF($BY659&lt;=U$615,MATCH($BY659,U$617:U$737,0))</f>
        <v>0</v>
      </c>
      <c r="AB659" s="112" t="n">
        <f aca="false">IF($BY659&lt;=V$615,MATCH($BY659,V$617:V$737,0))</f>
        <v>0</v>
      </c>
      <c r="AC659" s="112" t="n">
        <f aca="false">IF($BY659&lt;=W$615,MATCH($BY659,W$617:W$737,0))</f>
        <v>0</v>
      </c>
      <c r="AD659" s="112" t="n">
        <f aca="false">IF($BY659&lt;=X$615,MATCH($BY659,X$617:X$737,0))</f>
        <v>0</v>
      </c>
      <c r="AE659" s="112" t="n">
        <f aca="false">IF($BY659&lt;=Y$615,MATCH($BY659,Y$617:Y$737,0))</f>
        <v>0</v>
      </c>
      <c r="AF659" s="324" t="n">
        <f aca="false">IF($BY659&lt;=Z$615,MATCH($BY659,Z$617:Z$737,0))</f>
        <v>0</v>
      </c>
      <c r="AG659" s="325" t="str">
        <f aca="true">IF(AND(AA659&lt;="",AP50=""),OFFSET(Spells!H$2,AA659,0),"")</f>
        <v>Effect</v>
      </c>
      <c r="AH659" s="325" t="str">
        <f aca="true">IF(AND(AB659&lt;="",AP50=""),OFFSET(Spells!R$2,AB659,0),"")</f>
        <v>Effect</v>
      </c>
      <c r="AI659" s="325" t="str">
        <f aca="true">IF(AND(AC659&lt;="",AP50=""),OFFSET(Spells!AB$2,AC659,0),"")</f>
        <v>Effect</v>
      </c>
      <c r="AJ659" s="326" t="str">
        <f aca="true">IF(AND(AD659&lt;="",AP50=""),OFFSET(Spells!AL$2,AD659,0),"")</f>
        <v>Effect</v>
      </c>
      <c r="AK659" s="326" t="str">
        <f aca="true">IF(AND(AE659&lt;="",AP50=""),OFFSET(Spells!AV$2,AE659,0),"")</f>
        <v>Effect</v>
      </c>
      <c r="AL659" s="325" t="str">
        <f aca="true">IF(AND(AF659&lt;="",AP50=""),OFFSET(Spells!$H$2,AF659,0),"")</f>
        <v>Effect</v>
      </c>
      <c r="AM659" s="56"/>
      <c r="AN659" s="42"/>
      <c r="AO659" s="42"/>
      <c r="AP659" s="42"/>
      <c r="AQ659" s="340"/>
      <c r="AR659" s="327" t="str">
        <f aca="false">K94&amp;IF(Q94&lt;&gt;""," ("&amp;Q94&amp;")","")</f>
        <v>Blade Juggle</v>
      </c>
      <c r="AS659" s="112" t="n">
        <f aca="false">O94</f>
        <v>0</v>
      </c>
      <c r="AT659" s="112" t="n">
        <f aca="true">OFFSET(CostSkill,AS659,0)-OFFSET(CostSkill,N94,0)</f>
        <v>0</v>
      </c>
      <c r="AU659" s="112" t="str">
        <f aca="false">P94</f>
        <v>D</v>
      </c>
      <c r="AV659" s="112" t="n">
        <f aca="false">AV658+IF(AND(AR659&lt;&gt;" ",AS659&gt;0),1,0)</f>
        <v>7</v>
      </c>
      <c r="AW659" s="324"/>
      <c r="AX659" s="327" t="str">
        <f aca="false">IF(Discipline1&lt;&gt;"",HLOOKUP(Discipline1,knackfordic,BY656)," ")</f>
        <v>Traceless Stride</v>
      </c>
      <c r="AY659" s="329" t="n">
        <f aca="false">MATCH(AX659,Talents!G$3:G$210)</f>
        <v>173</v>
      </c>
      <c r="AZ659" s="329" t="str">
        <f aca="true">IF(AY659,OFFSET(Talents!H$2,Build!AY659,0)," ")</f>
        <v>Silent Walk</v>
      </c>
      <c r="BA659" s="112" t="n">
        <f aca="true">IF(AY659,OFFSET(Talents!J$2,Build!AY659,0)," ")</f>
        <v>1</v>
      </c>
      <c r="BB659" s="112" t="n">
        <f aca="true">IF(AY659,OFFSET(Talents!I$2,Build!AY659,0)," ")</f>
        <v>6</v>
      </c>
      <c r="BC659" s="112" t="n">
        <f aca="true">IF(AY659,OFFSET(Talents!K$2,Build!AY659,0)," ")</f>
        <v>3400</v>
      </c>
      <c r="BD659" s="112" t="n">
        <f aca="true">IF(AX$663=" ",OFFSET(E$615,MATCH(AZ659,D$616:D$656,0),0),IF(ISERROR(MATCH(AZ659,D$657:D$697,0)),OFFSET(E$615,MATCH(AZ659,D$616:D$656,0),0),IF(OFFSET(E$615,MATCH(AZ659,D$616:D$656,0),0)&gt;OFFSET(E$656,MATCH(AZ659,D$657:D$697,0),0),OFFSET(E$615,MATCH(AZ659,D$616:D$656,0),0),OFFSET(E$656,MATCH(AZ659,D$657:D$697,0),0))))</f>
        <v>8</v>
      </c>
      <c r="BE659" s="112" t="n">
        <f aca="false">BE658+IF(ISERROR(BD659), 0, IF(BD659&gt;=BB659, 1, 0))</f>
        <v>21</v>
      </c>
      <c r="BF659" s="324" t="n">
        <f aca="false">IF($BY659&lt;=BF$615,MATCH(BY659,BE$617:BE$681,0))</f>
        <v>0</v>
      </c>
      <c r="BJ659" s="327" t="str">
        <f aca="false">IF(P222&lt;&gt;"",M222," ")</f>
        <v> </v>
      </c>
      <c r="BK659" s="112" t="n">
        <f aca="false">IF(P222="",0,Q222)</f>
        <v>0</v>
      </c>
      <c r="BL659" s="112" t="n">
        <f aca="false">BL658+IF(BJ659&lt;&gt;" ",BK659,0)</f>
        <v>5</v>
      </c>
      <c r="BM659" s="112" t="n">
        <f aca="false">R222</f>
        <v>1</v>
      </c>
      <c r="BN659" s="112" t="n">
        <f aca="false">BN658+IF(BJ659&lt;&gt;" ",BM659,0)</f>
        <v>0</v>
      </c>
      <c r="BO659" s="329" t="str">
        <f aca="false">BO660&amp;IF(BJ659&lt;&gt;" ",", "&amp;BJ659&amp;" ("&amp;BK659&amp;")","")</f>
        <v>, Karma (3)</v>
      </c>
      <c r="BP659" s="327" t="n">
        <f aca="false">BP658+IF(BJ659&lt;&gt;" ",1,0)</f>
        <v>2</v>
      </c>
      <c r="BQ659" s="332"/>
      <c r="BY659" s="333" t="n">
        <f aca="false">BY658+1</f>
        <v>43</v>
      </c>
      <c r="BZ659" s="329" t="str">
        <f aca="false">N245</f>
        <v>Jacket, Courtier's</v>
      </c>
      <c r="CA659" s="112" t="n">
        <f aca="false">Q245</f>
        <v>0</v>
      </c>
      <c r="CB659" s="112" t="n">
        <f aca="false">R245</f>
        <v>170</v>
      </c>
      <c r="CC659" s="112" t="s">
        <v>301</v>
      </c>
      <c r="CD659" s="329" t="n">
        <f aca="false">FIND(",",BZ659)</f>
        <v>7</v>
      </c>
      <c r="CE659" s="329" t="str">
        <f aca="false">IF(ISERROR(CD659),BZ659,MID(BZ659,CD659+2,20)&amp;" "&amp;LEFT(BZ659,CD659-1))&amp;IF(ISERROR(VALUE(CA659)),"",IF(CA659&gt;1," ("&amp;CA659&amp;")",""))</f>
        <v>Courtier's Jacket</v>
      </c>
      <c r="CF659" s="329" t="str">
        <f aca="false">IF(CC659=" "," ",IF(ISERROR(VALUE(CA659)),CC659,CA659*CC659))</f>
        <v> </v>
      </c>
      <c r="CG659" s="112" t="n">
        <f aca="false">CG658+IF(AND(BZ659&lt;&gt;0,CA659&lt;&gt;0),1,0)</f>
        <v>4</v>
      </c>
      <c r="CH659" s="112" t="n">
        <f aca="false">IF($BY659&lt;=CH$615,MATCH($BY659,CG$617:CG$863,0))</f>
        <v>0</v>
      </c>
    </row>
    <row r="660" s="32" customFormat="true" ht="12.75" hidden="false" customHeight="false" outlineLevel="0" collapsed="false">
      <c r="B660" s="279" t="n">
        <v>1</v>
      </c>
      <c r="C660" s="67" t="str">
        <f aca="false">IF(AND(Discipline2&lt;&gt;"",Circle2&gt;=$B660),HLOOKUP(Discipline2,talentfordisc,1+BY620,0)," ")</f>
        <v> </v>
      </c>
      <c r="D660" s="67" t="str">
        <f aca="false">IF(RIGHT(C660, 3)="(D)",LEFT(C660,LEN(C660)-4),C660)</f>
        <v> </v>
      </c>
      <c r="E660" s="64" t="n">
        <f aca="false">W20</f>
        <v>0</v>
      </c>
      <c r="F660" s="182" t="n">
        <f aca="true">OFFSET(Cost_5_8,E660,0)</f>
        <v>0</v>
      </c>
      <c r="G660" s="64" t="n">
        <f aca="false">IF(C660&lt;&gt;" ",MATCH(D660,Talents!B$3:B$345,1),0)</f>
        <v>0</v>
      </c>
      <c r="H660" s="64" t="str">
        <f aca="true">IF(G660=0," ",OFFSET(Talents!C$2,G660,0))</f>
        <v> </v>
      </c>
      <c r="I660" s="64" t="n">
        <f aca="false">IF(E660&gt;0,X20,0)</f>
        <v>0</v>
      </c>
      <c r="J660" s="64" t="str">
        <f aca="false">IF(H660&lt;&gt;" ",E660+VLOOKUP(H660,G$597:L$603,6,0)+I660," ")</f>
        <v> </v>
      </c>
      <c r="K660" s="64" t="str">
        <f aca="true">IF(J660&lt;&gt;" ",OFFSET(ActionDice,J660,0),"-")</f>
        <v>-</v>
      </c>
      <c r="L660" s="67" t="n">
        <f aca="false">OR(RIGHT(C660, 3)="(D)", NOT(ISERROR(MATCH(D660&amp;" (D)", C$657:C$697, 0))))</f>
        <v>0</v>
      </c>
      <c r="M660" s="64" t="str">
        <f aca="true">IF(G660&gt;0,IF(L660,"D",OFFSET(Talents!D$2,G660,0))&amp;OFFSET(Talents!E$2,G660,0)," ")</f>
        <v> </v>
      </c>
      <c r="N660" s="64" t="n">
        <f aca="false">AND(Z20="",C660&lt;&gt;" ")</f>
        <v>0</v>
      </c>
      <c r="O660" s="300" t="n">
        <f aca="false">O659+IF(N659,1,0)</f>
        <v>18</v>
      </c>
      <c r="P660" s="324" t="n">
        <f aca="false">IF(Build!$BY660&lt;=Build!P$615,MATCH(Build!$BY660,Build!O$617:O$714,0))</f>
        <v>0</v>
      </c>
      <c r="Q660" s="112" t="n">
        <f aca="false">Q659+IF(E233&lt;&gt;"",1,0)</f>
        <v>2</v>
      </c>
      <c r="R660" s="112"/>
      <c r="S660" s="112" t="n">
        <f aca="false">S659+IF(E158&lt;&gt;"",1,0)</f>
        <v>2</v>
      </c>
      <c r="T660" s="112"/>
      <c r="U660" s="300" t="n">
        <f aca="false">U659+IF(H406&lt;&gt;"",1,0)</f>
        <v>0</v>
      </c>
      <c r="V660" s="112" t="n">
        <f aca="false">V659+IF(H438&lt;&gt;"",1,0)</f>
        <v>0</v>
      </c>
      <c r="W660" s="112" t="n">
        <f aca="false">W659+IF(H470&lt;&gt;"",1,0)</f>
        <v>0</v>
      </c>
      <c r="X660" s="112" t="n">
        <f aca="false">X659+IF(H502&lt;&gt;"",1,0)</f>
        <v>0</v>
      </c>
      <c r="Y660" s="112" t="n">
        <f aca="false">Y659+IF(H534&lt;&gt;"",1,0)</f>
        <v>0</v>
      </c>
      <c r="Z660" s="112" t="n">
        <f aca="false">Z659+IF($H566&lt;&gt;"",1,0)</f>
        <v>0</v>
      </c>
      <c r="AA660" s="300" t="n">
        <f aca="false">IF($BY660&lt;=U$615,MATCH($BY660,U$617:U$737,0))</f>
        <v>0</v>
      </c>
      <c r="AB660" s="112" t="n">
        <f aca="false">IF($BY660&lt;=V$615,MATCH($BY660,V$617:V$737,0))</f>
        <v>0</v>
      </c>
      <c r="AC660" s="112" t="n">
        <f aca="false">IF($BY660&lt;=W$615,MATCH($BY660,W$617:W$737,0))</f>
        <v>0</v>
      </c>
      <c r="AD660" s="112" t="n">
        <f aca="false">IF($BY660&lt;=X$615,MATCH($BY660,X$617:X$737,0))</f>
        <v>0</v>
      </c>
      <c r="AE660" s="112" t="n">
        <f aca="false">IF($BY660&lt;=Y$615,MATCH($BY660,Y$617:Y$737,0))</f>
        <v>0</v>
      </c>
      <c r="AF660" s="324" t="n">
        <f aca="false">IF($BY660&lt;=Z$615,MATCH($BY660,Z$617:Z$737,0))</f>
        <v>0</v>
      </c>
      <c r="AG660" s="325" t="str">
        <f aca="true">IF(AND(AA660&lt;="",AP51=""),OFFSET(Spells!H$2,AA660,0),"")</f>
        <v>Effect</v>
      </c>
      <c r="AH660" s="325" t="str">
        <f aca="true">IF(AND(AB660&lt;="",AP51=""),OFFSET(Spells!R$2,AB660,0),"")</f>
        <v>Effect</v>
      </c>
      <c r="AI660" s="325" t="str">
        <f aca="true">IF(AND(AC660&lt;="",AP51=""),OFFSET(Spells!AB$2,AC660,0),"")</f>
        <v>Effect</v>
      </c>
      <c r="AJ660" s="326" t="str">
        <f aca="true">IF(AND(AD660&lt;="",AP51=""),OFFSET(Spells!AL$2,AD660,0),"")</f>
        <v>Effect</v>
      </c>
      <c r="AK660" s="326" t="str">
        <f aca="true">IF(AND(AE660&lt;="",AP51=""),OFFSET(Spells!AV$2,AE660,0),"")</f>
        <v>Effect</v>
      </c>
      <c r="AL660" s="325" t="str">
        <f aca="true">IF(AND(AF660&lt;="",AP51=""),OFFSET(Spells!$H$2,AF660,0),"")</f>
        <v>Effect</v>
      </c>
      <c r="AM660" s="56"/>
      <c r="AN660" s="42"/>
      <c r="AO660" s="42"/>
      <c r="AP660" s="42"/>
      <c r="AQ660" s="340"/>
      <c r="AR660" s="327" t="str">
        <f aca="false">K95&amp;IF(Q95&lt;&gt;""," ("&amp;Q95&amp;")","")</f>
        <v>Bribery</v>
      </c>
      <c r="AS660" s="112" t="n">
        <f aca="false">O95</f>
        <v>0</v>
      </c>
      <c r="AT660" s="112" t="n">
        <f aca="true">OFFSET(CostSkill,AS660,0)-OFFSET(CostSkill,N95,0)</f>
        <v>0</v>
      </c>
      <c r="AU660" s="112" t="str">
        <f aca="false">P95</f>
        <v>C</v>
      </c>
      <c r="AV660" s="112" t="n">
        <f aca="false">AV659+IF(AND(AR660&lt;&gt;" ",AS660&gt;0),1,0)</f>
        <v>7</v>
      </c>
      <c r="AW660" s="324"/>
      <c r="AX660" s="327" t="n">
        <f aca="false">IF(Discipline1&lt;&gt;"",HLOOKUP(Discipline1,knackfordic,BY657)," ")</f>
        <v>0</v>
      </c>
      <c r="AY660" s="329" t="e">
        <f aca="false">IF(AX660&lt;&gt;" ",MATCH(AX660,Talents!G$3:G$210))</f>
        <v>#N/A</v>
      </c>
      <c r="AZ660" s="329" t="e">
        <f aca="true">IF(AY660,OFFSET(Talents!H$2,Build!AY660,0)," ")</f>
        <v>#N/A</v>
      </c>
      <c r="BA660" s="112" t="e">
        <f aca="true">IF(AY660,OFFSET(Talents!J$2,Build!AY660,0)," ")</f>
        <v>#N/A</v>
      </c>
      <c r="BB660" s="112" t="e">
        <f aca="true">IF(AY660,OFFSET(Talents!I$2,Build!AY660,0)," ")</f>
        <v>#N/A</v>
      </c>
      <c r="BC660" s="112" t="e">
        <f aca="true">IF(AY660,OFFSET(Talents!K$2,Build!AY660,0)," ")</f>
        <v>#N/A</v>
      </c>
      <c r="BD660" s="112" t="e">
        <f aca="true">IF(AX$663=" ",OFFSET(E$615,MATCH(AZ660,D$616:D$656,0),0),IF(ISERROR(MATCH(AZ660,D$657:D$697,0)),OFFSET(E$615,MATCH(AZ660,D$616:D$656,0),0),IF(OFFSET(E$615,MATCH(AZ660,D$616:D$656,0),0)&gt;OFFSET(E$656,MATCH(AZ660,D$657:D$697,0),0),OFFSET(E$615,MATCH(AZ660,D$616:D$656,0),0),OFFSET(E$656,MATCH(AZ660,D$657:D$697,0),0))))</f>
        <v>#N/A</v>
      </c>
      <c r="BE660" s="112" t="n">
        <f aca="false">BE659+IF(ISERROR(BD660), 0, IF(BD660&gt;=BB660, 1, 0))</f>
        <v>21</v>
      </c>
      <c r="BF660" s="324" t="n">
        <f aca="false">IF($BY660&lt;=BF$615,MATCH(BY660,BE$617:BE$681,0))</f>
        <v>0</v>
      </c>
      <c r="BJ660" s="327" t="str">
        <f aca="false">IF(P223&lt;&gt;"",M223," ")</f>
        <v>Karma</v>
      </c>
      <c r="BK660" s="112" t="n">
        <f aca="false">IF(P223="",0,Q223)</f>
        <v>3</v>
      </c>
      <c r="BL660" s="112" t="n">
        <f aca="false">BL659+IF(BJ660&lt;&gt;" ",BK660,0)</f>
        <v>8</v>
      </c>
      <c r="BM660" s="112" t="n">
        <f aca="false">R223</f>
        <v>2</v>
      </c>
      <c r="BN660" s="112" t="n">
        <f aca="false">BN659+IF(BJ660&lt;&gt;" ",BM660,0)</f>
        <v>2</v>
      </c>
      <c r="BO660" s="329" t="str">
        <f aca="false">BO661&amp;IF(BJ660&lt;&gt;" ",", "&amp;BJ660&amp;" ("&amp;BK660&amp;")","")</f>
        <v>, Karma (3)</v>
      </c>
      <c r="BP660" s="327" t="n">
        <f aca="false">BP659+IF(BJ660&lt;&gt;" ",1,0)</f>
        <v>3</v>
      </c>
      <c r="BQ660" s="332"/>
      <c r="BY660" s="333" t="n">
        <f aca="false">BY659+1</f>
        <v>44</v>
      </c>
      <c r="BZ660" s="329" t="str">
        <f aca="false">N246</f>
        <v>Pin</v>
      </c>
      <c r="CA660" s="112" t="n">
        <f aca="false">Q246</f>
        <v>0</v>
      </c>
      <c r="CB660" s="112" t="n">
        <f aca="false">R246</f>
        <v>1</v>
      </c>
      <c r="CC660" s="112" t="s">
        <v>301</v>
      </c>
      <c r="CD660" s="329" t="e">
        <f aca="false">FIND(",",BZ660)</f>
        <v>#VALUE!</v>
      </c>
      <c r="CE660" s="329" t="str">
        <f aca="false">IF(ISERROR(CD660),BZ660,MID(BZ660,CD660+2,20)&amp;" "&amp;LEFT(BZ660,CD660-1))&amp;IF(ISERROR(VALUE(CA660)),"",IF(CA660&gt;1," ("&amp;CA660&amp;")",""))</f>
        <v>Pin</v>
      </c>
      <c r="CF660" s="329" t="str">
        <f aca="false">IF(CC660=" "," ",IF(ISERROR(VALUE(CA660)),CC660,CA660*CC660))</f>
        <v> </v>
      </c>
      <c r="CG660" s="112" t="n">
        <f aca="false">CG659+IF(AND(BZ660&lt;&gt;0,CA660&lt;&gt;0),1,0)</f>
        <v>4</v>
      </c>
      <c r="CH660" s="112" t="n">
        <f aca="false">IF($BY660&lt;=CH$615,MATCH($BY660,CG$617:CG$863,0))</f>
        <v>0</v>
      </c>
    </row>
    <row r="661" s="32" customFormat="true" ht="12.75" hidden="false" customHeight="false" outlineLevel="0" collapsed="false">
      <c r="B661" s="279" t="n">
        <v>1</v>
      </c>
      <c r="C661" s="67" t="str">
        <f aca="false">IF(AND(Discipline2&lt;&gt;"",Circle2&gt;=$B661),HLOOKUP(Discipline2,talentfordisc,1+BY621,0)," ")</f>
        <v> </v>
      </c>
      <c r="D661" s="67" t="str">
        <f aca="false">IF(RIGHT(C661, 3)="(D)",LEFT(C661,LEN(C661)-4),C661)</f>
        <v> </v>
      </c>
      <c r="E661" s="64" t="n">
        <f aca="false">W21</f>
        <v>0</v>
      </c>
      <c r="F661" s="182" t="n">
        <f aca="true">OFFSET(Cost_5_8,E661,0)</f>
        <v>0</v>
      </c>
      <c r="G661" s="64" t="n">
        <f aca="false">IF(C661&lt;&gt;" ",MATCH(D661,Talents!B$3:B$345,1),0)</f>
        <v>0</v>
      </c>
      <c r="H661" s="64" t="str">
        <f aca="true">IF(G661=0," ",OFFSET(Talents!C$2,G661,0))</f>
        <v> </v>
      </c>
      <c r="I661" s="64" t="n">
        <f aca="false">IF(E661&gt;0,X21,0)</f>
        <v>0</v>
      </c>
      <c r="J661" s="64" t="str">
        <f aca="false">IF(H661&lt;&gt;" ",E661+VLOOKUP(H661,G$597:L$603,6,0)+I661," ")</f>
        <v> </v>
      </c>
      <c r="K661" s="64" t="str">
        <f aca="true">IF(J661&lt;&gt;" ",OFFSET(ActionDice,J661,0),"-")</f>
        <v>-</v>
      </c>
      <c r="L661" s="67" t="n">
        <f aca="false">OR(RIGHT(C661, 3)="(D)", NOT(ISERROR(MATCH(D661&amp;" (D)", C$657:C$697, 0))))</f>
        <v>0</v>
      </c>
      <c r="M661" s="64" t="str">
        <f aca="true">IF(G661&gt;0,IF(L661,"D",OFFSET(Talents!D$2,G661,0))&amp;OFFSET(Talents!E$2,G661,0)," ")</f>
        <v> </v>
      </c>
      <c r="N661" s="64" t="n">
        <f aca="false">AND(Z21="",C661&lt;&gt;" ")</f>
        <v>0</v>
      </c>
      <c r="O661" s="300" t="n">
        <f aca="false">O660+IF(N660,1,0)</f>
        <v>18</v>
      </c>
      <c r="P661" s="324" t="n">
        <f aca="false">IF(Build!$BY661&lt;=Build!P$615,MATCH(Build!$BY661,Build!O$617:O$714,0))</f>
        <v>0</v>
      </c>
      <c r="Q661" s="42"/>
      <c r="R661" s="42"/>
      <c r="S661" s="112" t="n">
        <f aca="false">S660+IF(E159&lt;&gt;"",1,0)</f>
        <v>2</v>
      </c>
      <c r="T661" s="112"/>
      <c r="U661" s="300" t="n">
        <f aca="false">U660+IF(H407&lt;&gt;"",1,0)</f>
        <v>0</v>
      </c>
      <c r="V661" s="112" t="n">
        <f aca="false">V660+IF(H439&lt;&gt;"",1,0)</f>
        <v>0</v>
      </c>
      <c r="W661" s="112" t="n">
        <f aca="false">W660+IF(H471&lt;&gt;"",1,0)</f>
        <v>0</v>
      </c>
      <c r="X661" s="112" t="n">
        <f aca="false">X660+IF(H503&lt;&gt;"",1,0)</f>
        <v>0</v>
      </c>
      <c r="Y661" s="112" t="n">
        <f aca="false">Y660+IF(H535&lt;&gt;"",1,0)</f>
        <v>0</v>
      </c>
      <c r="Z661" s="112" t="n">
        <f aca="false">Z660+IF($H567&lt;&gt;"",1,0)</f>
        <v>0</v>
      </c>
      <c r="AA661" s="300" t="n">
        <f aca="false">IF($BY661&lt;=U$615,MATCH($BY661,U$617:U$737,0))</f>
        <v>0</v>
      </c>
      <c r="AB661" s="112" t="n">
        <f aca="false">IF($BY661&lt;=V$615,MATCH($BY661,V$617:V$737,0))</f>
        <v>0</v>
      </c>
      <c r="AC661" s="112" t="n">
        <f aca="false">IF($BY661&lt;=W$615,MATCH($BY661,W$617:W$737,0))</f>
        <v>0</v>
      </c>
      <c r="AD661" s="112" t="n">
        <f aca="false">IF($BY661&lt;=X$615,MATCH($BY661,X$617:X$737,0))</f>
        <v>0</v>
      </c>
      <c r="AE661" s="112" t="n">
        <f aca="false">IF($BY661&lt;=Y$615,MATCH($BY661,Y$617:Y$737,0))</f>
        <v>0</v>
      </c>
      <c r="AF661" s="324" t="n">
        <f aca="false">IF($BY661&lt;=Z$615,MATCH($BY661,Z$617:Z$737,0))</f>
        <v>0</v>
      </c>
      <c r="AG661" s="325" t="str">
        <f aca="true">IF(AND(AA661&lt;="",AP52=""),OFFSET(Spells!H$2,AA661,0),"")</f>
        <v>Effect</v>
      </c>
      <c r="AH661" s="325" t="str">
        <f aca="true">IF(AND(AB661&lt;="",AP52=""),OFFSET(Spells!R$2,AB661,0),"")</f>
        <v>Effect</v>
      </c>
      <c r="AI661" s="325" t="str">
        <f aca="true">IF(AND(AC661&lt;="",AP52=""),OFFSET(Spells!AB$2,AC661,0),"")</f>
        <v>Effect</v>
      </c>
      <c r="AJ661" s="326" t="str">
        <f aca="true">IF(AND(AD661&lt;="",AP52=""),OFFSET(Spells!AL$2,AD661,0),"")</f>
        <v>Effect</v>
      </c>
      <c r="AK661" s="326" t="str">
        <f aca="true">IF(AND(AE661&lt;="",AP52=""),OFFSET(Spells!AV$2,AE661,0),"")</f>
        <v>Effect</v>
      </c>
      <c r="AL661" s="325" t="str">
        <f aca="true">IF(AND(AF661&lt;="",AP52=""),OFFSET(Spells!$H$2,AF661,0),"")</f>
        <v>Effect</v>
      </c>
      <c r="AM661" s="56"/>
      <c r="AN661" s="42"/>
      <c r="AO661" s="42"/>
      <c r="AP661" s="42"/>
      <c r="AQ661" s="340"/>
      <c r="AR661" s="327" t="str">
        <f aca="false">K96&amp;IF(Q96&lt;&gt;""," ("&amp;Q96&amp;")","")</f>
        <v>Charge</v>
      </c>
      <c r="AS661" s="112" t="n">
        <f aca="false">O96</f>
        <v>0</v>
      </c>
      <c r="AT661" s="112" t="n">
        <f aca="true">OFFSET(CostSkill,AS661,0)-OFFSET(CostSkill,N96,0)</f>
        <v>0</v>
      </c>
      <c r="AU661" s="112" t="str">
        <f aca="false">P96</f>
        <v>S</v>
      </c>
      <c r="AV661" s="112" t="n">
        <f aca="false">AV660+IF(AND(AR661&lt;&gt;" ",AS661&gt;0),1,0)</f>
        <v>7</v>
      </c>
      <c r="AW661" s="324"/>
      <c r="AX661" s="327" t="n">
        <f aca="false">IF(Discipline1&lt;&gt;"",HLOOKUP(Discipline1,knackfordic,BY658)," ")</f>
        <v>0</v>
      </c>
      <c r="AY661" s="329" t="e">
        <f aca="false">IF(AX661&lt;&gt;" ",MATCH(AX661,Talents!G$3:G$210))</f>
        <v>#N/A</v>
      </c>
      <c r="AZ661" s="329" t="e">
        <f aca="true">IF(AY661,OFFSET(Talents!H$2,Build!AY661,0)," ")</f>
        <v>#N/A</v>
      </c>
      <c r="BA661" s="112" t="e">
        <f aca="true">IF(AY661,OFFSET(Talents!J$2,Build!AY661,0)," ")</f>
        <v>#N/A</v>
      </c>
      <c r="BB661" s="112" t="e">
        <f aca="true">IF(AY661,OFFSET(Talents!I$2,Build!AY661,0)," ")</f>
        <v>#N/A</v>
      </c>
      <c r="BC661" s="112" t="e">
        <f aca="true">IF(AY661,OFFSET(Talents!K$2,Build!AY661,0)," ")</f>
        <v>#N/A</v>
      </c>
      <c r="BD661" s="112" t="e">
        <f aca="true">IF(AX$663=" ",OFFSET(E$615,MATCH(AZ661,D$616:D$656,0),0),IF(ISERROR(MATCH(AZ661,D$657:D$697,0)),OFFSET(E$615,MATCH(AZ661,D$616:D$656,0),0),IF(OFFSET(E$615,MATCH(AZ661,D$616:D$656,0),0)&gt;OFFSET(E$656,MATCH(AZ661,D$657:D$697,0),0),OFFSET(E$615,MATCH(AZ661,D$616:D$656,0),0),OFFSET(E$656,MATCH(AZ661,D$657:D$697,0),0))))</f>
        <v>#N/A</v>
      </c>
      <c r="BE661" s="112" t="n">
        <f aca="false">BE660+IF(ISERROR(BD661), 0, IF(BD661&gt;=BB661, 1, 0))</f>
        <v>21</v>
      </c>
      <c r="BF661" s="324" t="n">
        <f aca="false">IF($BY661&lt;=BF$615,MATCH(BY661,BE$617:BE$681,0))</f>
        <v>0</v>
      </c>
      <c r="BJ661" s="327" t="str">
        <f aca="false">IF(P224&lt;&gt;"",M224," ")</f>
        <v> </v>
      </c>
      <c r="BK661" s="112" t="n">
        <f aca="false">IF(P224="",0,Q224)</f>
        <v>0</v>
      </c>
      <c r="BL661" s="112" t="n">
        <f aca="false">BL660+IF(BJ661&lt;&gt;" ",BK661,0)</f>
        <v>8</v>
      </c>
      <c r="BM661" s="112" t="n">
        <f aca="false">R224</f>
        <v>3</v>
      </c>
      <c r="BN661" s="112" t="n">
        <f aca="false">BN660+IF(BJ661&lt;&gt;" ",BM661,0)</f>
        <v>2</v>
      </c>
      <c r="BO661" s="329" t="str">
        <f aca="false">BO662&amp;IF(BJ661&lt;&gt;" ",", "&amp;BJ661&amp;" ("&amp;BK661&amp;")","")</f>
        <v/>
      </c>
      <c r="BP661" s="327" t="n">
        <f aca="false">BP660+IF(BJ661&lt;&gt;" ",1,0)</f>
        <v>3</v>
      </c>
      <c r="BQ661" s="332"/>
      <c r="BY661" s="333" t="n">
        <f aca="false">BY660+1</f>
        <v>45</v>
      </c>
      <c r="BZ661" s="329" t="str">
        <f aca="false">N247</f>
        <v>Robe, Linen</v>
      </c>
      <c r="CA661" s="112" t="n">
        <f aca="false">Q247</f>
        <v>0</v>
      </c>
      <c r="CB661" s="112" t="n">
        <f aca="false">R247</f>
        <v>1.5</v>
      </c>
      <c r="CC661" s="112" t="s">
        <v>301</v>
      </c>
      <c r="CD661" s="329" t="n">
        <f aca="false">FIND(",",BZ661)</f>
        <v>5</v>
      </c>
      <c r="CE661" s="329" t="str">
        <f aca="false">IF(ISERROR(CD661),BZ661,MID(BZ661,CD661+2,20)&amp;" "&amp;LEFT(BZ661,CD661-1))&amp;IF(ISERROR(VALUE(CA661)),"",IF(CA661&gt;1," ("&amp;CA661&amp;")",""))</f>
        <v>Linen Robe</v>
      </c>
      <c r="CF661" s="329" t="str">
        <f aca="false">IF(CC661=" "," ",IF(ISERROR(VALUE(CA661)),CC661,CA661*CC661))</f>
        <v> </v>
      </c>
      <c r="CG661" s="112" t="n">
        <f aca="false">CG660+IF(AND(BZ661&lt;&gt;0,CA661&lt;&gt;0),1,0)</f>
        <v>4</v>
      </c>
      <c r="CH661" s="112" t="n">
        <f aca="false">IF($BY661&lt;=CH$615,MATCH($BY661,CG$617:CG$863,0))</f>
        <v>0</v>
      </c>
    </row>
    <row r="662" s="32" customFormat="true" ht="12.75" hidden="false" customHeight="false" outlineLevel="0" collapsed="false">
      <c r="B662" s="279" t="n">
        <v>1</v>
      </c>
      <c r="C662" s="67" t="str">
        <f aca="false">IF(AND(Discipline2&lt;&gt;"",Circle2&gt;=$B662),HLOOKUP(Discipline2,talentfordisc,1+BY622,0)," ")</f>
        <v> </v>
      </c>
      <c r="D662" s="67" t="str">
        <f aca="false">IF(RIGHT(C662, 3)="(D)",LEFT(C662,LEN(C662)-4),C662)</f>
        <v> </v>
      </c>
      <c r="E662" s="64" t="n">
        <f aca="false">W22</f>
        <v>0</v>
      </c>
      <c r="F662" s="182" t="n">
        <f aca="true">OFFSET(Cost_5_8,E662,0)</f>
        <v>0</v>
      </c>
      <c r="G662" s="64" t="n">
        <f aca="false">IF(C662&lt;&gt;" ",MATCH(D662,Talents!B$3:B$345,1),0)</f>
        <v>0</v>
      </c>
      <c r="H662" s="64" t="str">
        <f aca="true">IF(G662=0," ",OFFSET(Talents!C$2,G662,0))</f>
        <v> </v>
      </c>
      <c r="I662" s="64" t="n">
        <f aca="false">IF(E662&gt;0,X22,0)</f>
        <v>0</v>
      </c>
      <c r="J662" s="64" t="str">
        <f aca="false">IF(H662&lt;&gt;" ",E662+VLOOKUP(H662,G$597:L$603,6,0)+I662," ")</f>
        <v> </v>
      </c>
      <c r="K662" s="64" t="str">
        <f aca="true">IF(J662&lt;&gt;" ",OFFSET(ActionDice,J662,0),"-")</f>
        <v>-</v>
      </c>
      <c r="L662" s="67" t="n">
        <f aca="false">OR(RIGHT(C662, 3)="(D)", NOT(ISERROR(MATCH(D662&amp;" (D)", C$657:C$697, 0))))</f>
        <v>0</v>
      </c>
      <c r="M662" s="64" t="str">
        <f aca="true">IF(G662&gt;0,IF(L662,"D",OFFSET(Talents!D$2,G662,0))&amp;OFFSET(Talents!E$2,G662,0)," ")</f>
        <v> </v>
      </c>
      <c r="N662" s="64" t="n">
        <f aca="false">AND(Z22="",C662&lt;&gt;" ")</f>
        <v>0</v>
      </c>
      <c r="O662" s="300" t="n">
        <f aca="false">O661+IF(N661,1,0)</f>
        <v>18</v>
      </c>
      <c r="P662" s="324" t="n">
        <f aca="false">IF(Build!$BY662&lt;=Build!P$615,MATCH(Build!$BY662,Build!O$617:O$714,0))</f>
        <v>0</v>
      </c>
      <c r="Q662" s="42"/>
      <c r="R662" s="42"/>
      <c r="S662" s="112" t="n">
        <f aca="false">S661+IF(E160&lt;&gt;"",1,0)</f>
        <v>2</v>
      </c>
      <c r="T662" s="112"/>
      <c r="U662" s="300" t="n">
        <f aca="false">U661+IF(H408&lt;&gt;"",1,0)</f>
        <v>0</v>
      </c>
      <c r="V662" s="112" t="n">
        <f aca="false">V661+IF(H440&lt;&gt;"",1,0)</f>
        <v>0</v>
      </c>
      <c r="W662" s="112" t="n">
        <f aca="false">W661+IF(H472&lt;&gt;"",1,0)</f>
        <v>0</v>
      </c>
      <c r="X662" s="112" t="n">
        <f aca="false">X661+IF(H504&lt;&gt;"",1,0)</f>
        <v>0</v>
      </c>
      <c r="Y662" s="112" t="n">
        <f aca="false">Y661+IF(H536&lt;&gt;"",1,0)</f>
        <v>0</v>
      </c>
      <c r="Z662" s="112" t="n">
        <f aca="false">Z661+IF($H568&lt;&gt;"",1,0)</f>
        <v>0</v>
      </c>
      <c r="AA662" s="300" t="n">
        <f aca="false">IF($BY662&lt;=U$615,MATCH($BY662,U$617:U$737,0))</f>
        <v>0</v>
      </c>
      <c r="AB662" s="112" t="n">
        <f aca="false">IF($BY662&lt;=V$615,MATCH($BY662,V$617:V$737,0))</f>
        <v>0</v>
      </c>
      <c r="AC662" s="112" t="n">
        <f aca="false">IF($BY662&lt;=W$615,MATCH($BY662,W$617:W$737,0))</f>
        <v>0</v>
      </c>
      <c r="AD662" s="112" t="n">
        <f aca="false">IF($BY662&lt;=X$615,MATCH($BY662,X$617:X$737,0))</f>
        <v>0</v>
      </c>
      <c r="AE662" s="112" t="n">
        <f aca="false">IF($BY662&lt;=Y$615,MATCH($BY662,Y$617:Y$737,0))</f>
        <v>0</v>
      </c>
      <c r="AF662" s="324" t="n">
        <f aca="false">IF($BY662&lt;=Z$615,MATCH($BY662,Z$617:Z$737,0))</f>
        <v>0</v>
      </c>
      <c r="AG662" s="325" t="str">
        <f aca="true">IF(AND(AA662&lt;="",AP53=""),OFFSET(Spells!H$2,AA662,0),"")</f>
        <v>Effect</v>
      </c>
      <c r="AH662" s="325" t="str">
        <f aca="true">IF(AND(AB662&lt;="",AP53=""),OFFSET(Spells!R$2,AB662,0),"")</f>
        <v>Effect</v>
      </c>
      <c r="AI662" s="325" t="str">
        <f aca="true">IF(AND(AC662&lt;="",AP53=""),OFFSET(Spells!AB$2,AC662,0),"")</f>
        <v>Effect</v>
      </c>
      <c r="AJ662" s="326" t="str">
        <f aca="true">IF(AND(AD662&lt;="",AP53=""),OFFSET(Spells!AL$2,AD662,0),"")</f>
        <v>Effect</v>
      </c>
      <c r="AK662" s="326" t="str">
        <f aca="true">IF(AND(AE662&lt;="",AP53=""),OFFSET(Spells!AV$2,AE662,0),"")</f>
        <v>Effect</v>
      </c>
      <c r="AL662" s="325" t="str">
        <f aca="true">IF(AND(AF662&lt;="",AP53=""),OFFSET(Spells!$H$2,AF662,0),"")</f>
        <v>Effect</v>
      </c>
      <c r="AM662" s="56"/>
      <c r="AN662" s="42"/>
      <c r="AO662" s="42"/>
      <c r="AP662" s="42"/>
      <c r="AQ662" s="340"/>
      <c r="AR662" s="327" t="str">
        <f aca="false">K97&amp;IF(Q97&lt;&gt;""," ("&amp;Q97&amp;")","")</f>
        <v>Climbing</v>
      </c>
      <c r="AS662" s="112" t="n">
        <f aca="false">O97</f>
        <v>0</v>
      </c>
      <c r="AT662" s="112" t="n">
        <f aca="true">OFFSET(CostSkill,AS662,0)-OFFSET(CostSkill,N97,0)</f>
        <v>0</v>
      </c>
      <c r="AU662" s="112" t="str">
        <f aca="false">P97</f>
        <v>D</v>
      </c>
      <c r="AV662" s="112" t="n">
        <f aca="false">AV661+IF(AND(AR662&lt;&gt;" ",AS662&gt;0),1,0)</f>
        <v>7</v>
      </c>
      <c r="AW662" s="324"/>
      <c r="AX662" s="327" t="n">
        <f aca="false">IF(Discipline1&lt;&gt;"",HLOOKUP(Discipline1,knackfordic,BY659)," ")</f>
        <v>0</v>
      </c>
      <c r="AY662" s="329" t="e">
        <f aca="false">IF(AX662&lt;&gt;" ",MATCH(AX662,Talents!G$3:G$210))</f>
        <v>#N/A</v>
      </c>
      <c r="AZ662" s="329" t="e">
        <f aca="true">IF(AY662,OFFSET(Talents!H$2,Build!AY662,0)," ")</f>
        <v>#N/A</v>
      </c>
      <c r="BA662" s="112" t="e">
        <f aca="true">IF(AY662,OFFSET(Talents!J$2,Build!AY662,0)," ")</f>
        <v>#N/A</v>
      </c>
      <c r="BB662" s="112" t="e">
        <f aca="true">IF(AY662,OFFSET(Talents!I$2,Build!AY662,0)," ")</f>
        <v>#N/A</v>
      </c>
      <c r="BC662" s="112" t="e">
        <f aca="true">IF(AY662,OFFSET(Talents!K$2,Build!AY662,0)," ")</f>
        <v>#N/A</v>
      </c>
      <c r="BD662" s="112" t="e">
        <f aca="true">IF(AX$663=" ",OFFSET(E$615,MATCH(AZ662,D$616:D$656,0),0),IF(ISERROR(MATCH(AZ662,D$657:D$697,0)),OFFSET(E$615,MATCH(AZ662,D$616:D$656,0),0),IF(OFFSET(E$615,MATCH(AZ662,D$616:D$656,0),0)&gt;OFFSET(E$656,MATCH(AZ662,D$657:D$697,0),0),OFFSET(E$615,MATCH(AZ662,D$616:D$656,0),0),OFFSET(E$656,MATCH(AZ662,D$657:D$697,0),0))))</f>
        <v>#N/A</v>
      </c>
      <c r="BE662" s="112" t="n">
        <f aca="false">BE661+IF(ISERROR(BD662), 0, IF(BD662&gt;=BB662, 1, 0))</f>
        <v>21</v>
      </c>
      <c r="BF662" s="324" t="n">
        <f aca="false">IF($BY662&lt;=BF$615,MATCH(BY662,BE$617:BE$681,0))</f>
        <v>0</v>
      </c>
      <c r="BJ662" s="327" t="str">
        <f aca="false">IF(P225&lt;&gt;"",M225," ")</f>
        <v> </v>
      </c>
      <c r="BK662" s="112" t="n">
        <f aca="false">IF(P225="",0,Q225)</f>
        <v>0</v>
      </c>
      <c r="BL662" s="112" t="n">
        <f aca="false">BL661+IF(BJ662&lt;&gt;" ",BK662,0)</f>
        <v>8</v>
      </c>
      <c r="BM662" s="112" t="n">
        <f aca="false">R225</f>
        <v>2</v>
      </c>
      <c r="BN662" s="112" t="n">
        <f aca="false">BN661+IF(BJ662&lt;&gt;" ",BM662,0)</f>
        <v>2</v>
      </c>
      <c r="BO662" s="329" t="str">
        <f aca="false">BO663&amp;IF(BJ662&lt;&gt;" ",", "&amp;BJ662&amp;" ("&amp;BK662&amp;")","")</f>
        <v/>
      </c>
      <c r="BP662" s="327" t="n">
        <f aca="false">BP661+IF(BJ662&lt;&gt;" ",1,0)</f>
        <v>3</v>
      </c>
      <c r="BQ662" s="332"/>
      <c r="BY662" s="333" t="n">
        <f aca="false">BY661+1</f>
        <v>46</v>
      </c>
      <c r="BZ662" s="329" t="str">
        <f aca="false">N248</f>
        <v>Robe, Embroidered</v>
      </c>
      <c r="CA662" s="112" t="n">
        <f aca="false">Q248</f>
        <v>0</v>
      </c>
      <c r="CB662" s="112" t="n">
        <f aca="false">R248</f>
        <v>15</v>
      </c>
      <c r="CC662" s="112" t="s">
        <v>301</v>
      </c>
      <c r="CD662" s="329" t="n">
        <f aca="false">FIND(",",BZ662)</f>
        <v>5</v>
      </c>
      <c r="CE662" s="329" t="str">
        <f aca="false">IF(ISERROR(CD662),BZ662,MID(BZ662,CD662+2,20)&amp;" "&amp;LEFT(BZ662,CD662-1))&amp;IF(ISERROR(VALUE(CA662)),"",IF(CA662&gt;1," ("&amp;CA662&amp;")",""))</f>
        <v>Embroidered Robe</v>
      </c>
      <c r="CF662" s="329" t="str">
        <f aca="false">IF(CC662=" "," ",IF(ISERROR(VALUE(CA662)),CC662,CA662*CC662))</f>
        <v> </v>
      </c>
      <c r="CG662" s="112" t="n">
        <f aca="false">CG661+IF(AND(BZ662&lt;&gt;0,CA662&lt;&gt;0),1,0)</f>
        <v>4</v>
      </c>
      <c r="CH662" s="112" t="n">
        <f aca="false">IF($BY662&lt;=CH$615,MATCH($BY662,CG$617:CG$863,0))</f>
        <v>0</v>
      </c>
    </row>
    <row r="663" s="32" customFormat="true" ht="12.75" hidden="false" customHeight="false" outlineLevel="0" collapsed="false">
      <c r="B663" s="279" t="n">
        <v>1</v>
      </c>
      <c r="C663" s="67" t="n">
        <f aca="false">AR23</f>
        <v>0</v>
      </c>
      <c r="D663" s="67" t="n">
        <f aca="false">IF(RIGHT(C663, 3)="(D)",LEFT(C663,LEN(C663)-4),C663)</f>
        <v>0</v>
      </c>
      <c r="E663" s="64" t="n">
        <f aca="false">W23</f>
        <v>0</v>
      </c>
      <c r="F663" s="182" t="n">
        <f aca="true">OFFSET(Cost_5_8,E663,0)</f>
        <v>0</v>
      </c>
      <c r="G663" s="64" t="e">
        <f aca="false">IF(C663&lt;&gt;" ",MATCH(D663,Talents!B$3:B$345,1),0)</f>
        <v>#N/A</v>
      </c>
      <c r="H663" s="64" t="e">
        <f aca="true">IF(G663=0," ",OFFSET(Talents!C$2,G663,0))</f>
        <v>#N/A</v>
      </c>
      <c r="I663" s="64" t="n">
        <f aca="false">IF(E663&gt;0,X23,0)</f>
        <v>0</v>
      </c>
      <c r="J663" s="64" t="e">
        <f aca="false">IF(H663&lt;&gt;" ",E663+VLOOKUP(H663,G$597:L$603,6,0)+I663," ")</f>
        <v>#N/A</v>
      </c>
      <c r="K663" s="64" t="e">
        <f aca="true">IF(J663&lt;&gt;" ",OFFSET(ActionDice,J663,0),"-")</f>
        <v>#N/A</v>
      </c>
      <c r="L663" s="67" t="n">
        <f aca="false">OR(RIGHT(C663, 3)="(D)", NOT(ISERROR(MATCH(D663&amp;" (D)", C$657:C$697, 0))))</f>
        <v>0</v>
      </c>
      <c r="M663" s="64" t="e">
        <f aca="true">IF(G663&gt;0,IF(L663,"D",OFFSET(Talents!D$2,G663,0))&amp;OFFSET(Talents!E$2,G663,0)," ")</f>
        <v>#N/A</v>
      </c>
      <c r="N663" s="64" t="n">
        <f aca="false">AND(Z23="",C663&lt;&gt;" ")</f>
        <v>0</v>
      </c>
      <c r="O663" s="300" t="n">
        <f aca="false">O662+IF(N662,1,0)</f>
        <v>18</v>
      </c>
      <c r="P663" s="324" t="n">
        <f aca="false">IF(Build!$BY663&lt;=Build!P$615,MATCH(Build!$BY663,Build!O$617:O$714,0))</f>
        <v>0</v>
      </c>
      <c r="Q663" s="42"/>
      <c r="R663" s="42"/>
      <c r="S663" s="112" t="n">
        <f aca="false">S662+IF(E161&lt;&gt;"",1,0)</f>
        <v>3</v>
      </c>
      <c r="T663" s="112"/>
      <c r="U663" s="300" t="n">
        <f aca="false">U662+IF(H409&lt;&gt;"",1,0)</f>
        <v>0</v>
      </c>
      <c r="V663" s="112" t="n">
        <f aca="false">V662+IF(H441&lt;&gt;"",1,0)</f>
        <v>0</v>
      </c>
      <c r="W663" s="112" t="n">
        <f aca="false">W662+IF(H473&lt;&gt;"",1,0)</f>
        <v>0</v>
      </c>
      <c r="X663" s="112" t="n">
        <f aca="false">X662+IF(H505&lt;&gt;"",1,0)</f>
        <v>0</v>
      </c>
      <c r="Y663" s="112" t="n">
        <f aca="false">Y662+IF(H537&lt;&gt;"",1,0)</f>
        <v>0</v>
      </c>
      <c r="Z663" s="112" t="n">
        <f aca="false">Z662+IF($H569&lt;&gt;"",1,0)</f>
        <v>0</v>
      </c>
      <c r="AA663" s="300" t="n">
        <f aca="false">IF($BY663&lt;=U$615,MATCH($BY663,U$617:U$737,0))</f>
        <v>0</v>
      </c>
      <c r="AB663" s="112" t="n">
        <f aca="false">IF($BY663&lt;=V$615,MATCH($BY663,V$617:V$737,0))</f>
        <v>0</v>
      </c>
      <c r="AC663" s="112" t="n">
        <f aca="false">IF($BY663&lt;=W$615,MATCH($BY663,W$617:W$737,0))</f>
        <v>0</v>
      </c>
      <c r="AD663" s="112" t="n">
        <f aca="false">IF($BY663&lt;=X$615,MATCH($BY663,X$617:X$737,0))</f>
        <v>0</v>
      </c>
      <c r="AE663" s="112" t="n">
        <f aca="false">IF($BY663&lt;=Y$615,MATCH($BY663,Y$617:Y$737,0))</f>
        <v>0</v>
      </c>
      <c r="AF663" s="324" t="n">
        <f aca="false">IF($BY663&lt;=Z$615,MATCH($BY663,Z$617:Z$737,0))</f>
        <v>0</v>
      </c>
      <c r="AG663" s="325" t="str">
        <f aca="true">IF(AND(AA663&lt;="",AP54=""),OFFSET(Spells!H$2,AA663,0),"")</f>
        <v>Effect</v>
      </c>
      <c r="AH663" s="325" t="str">
        <f aca="true">IF(AND(AB663&lt;="",AP54=""),OFFSET(Spells!R$2,AB663,0),"")</f>
        <v>Effect</v>
      </c>
      <c r="AI663" s="325" t="str">
        <f aca="true">IF(AND(AC663&lt;="",AP54=""),OFFSET(Spells!AB$2,AC663,0),"")</f>
        <v>Effect</v>
      </c>
      <c r="AJ663" s="326" t="str">
        <f aca="true">IF(AND(AD663&lt;="",AP54=""),OFFSET(Spells!AL$2,AD663,0),"")</f>
        <v>Effect</v>
      </c>
      <c r="AK663" s="326" t="str">
        <f aca="true">IF(AND(AE663&lt;="",AP54=""),OFFSET(Spells!AV$2,AE663,0),"")</f>
        <v>Effect</v>
      </c>
      <c r="AL663" s="325" t="str">
        <f aca="true">IF(AND(AF663&lt;="",AP54=""),OFFSET(Spells!$H$2,AF663,0),"")</f>
        <v>Effect</v>
      </c>
      <c r="AM663" s="56"/>
      <c r="AN663" s="42"/>
      <c r="AO663" s="42"/>
      <c r="AP663" s="42"/>
      <c r="AQ663" s="340"/>
      <c r="AR663" s="327" t="str">
        <f aca="false">K98&amp;IF(Q98&lt;&gt;""," ("&amp;Q98&amp;")","")</f>
        <v>Close In</v>
      </c>
      <c r="AS663" s="112" t="n">
        <f aca="false">O98</f>
        <v>0</v>
      </c>
      <c r="AT663" s="112" t="n">
        <f aca="true">OFFSET(CostSkill,AS663,0)-OFFSET(CostSkill,N98,0)</f>
        <v>0</v>
      </c>
      <c r="AU663" s="112" t="str">
        <f aca="false">P98</f>
        <v>D</v>
      </c>
      <c r="AV663" s="112" t="n">
        <f aca="false">AV662+IF(AND(AR663&lt;&gt;" ",AS663&gt;0),1,0)</f>
        <v>7</v>
      </c>
      <c r="AW663" s="324"/>
      <c r="AX663" s="327" t="str">
        <f aca="false">IF(Discipline2&lt;&gt;"",HLOOKUP(Discipline2,knackfordic,BY618)," ")</f>
        <v>Act On Instinct</v>
      </c>
      <c r="AY663" s="329" t="n">
        <f aca="false">IF(AX663&lt;&gt;" ",IF(ISERROR(MATCH(AX663,AX$621:AX$639,0)),MATCH(AX663,Talents!G$4:G$210)))</f>
        <v>0</v>
      </c>
      <c r="AZ663" s="329" t="str">
        <f aca="true">IF(AY663,OFFSET(Talents!H$2,Build!AY663,0)," ")</f>
        <v> </v>
      </c>
      <c r="BA663" s="112" t="str">
        <f aca="true">IF(AY663,OFFSET(Talents!J$2,Build!AY663,0)," ")</f>
        <v> </v>
      </c>
      <c r="BB663" s="112" t="str">
        <f aca="true">IF(AY663,OFFSET(Talents!I$2,Build!AY663,0)," ")</f>
        <v> </v>
      </c>
      <c r="BC663" s="112" t="str">
        <f aca="true">IF(AY663,OFFSET(Talents!K$1,Build!AY663,0)," ")</f>
        <v> </v>
      </c>
      <c r="BD663" s="112" t="n">
        <f aca="true">IF(AY663=0,0,IF(ISERROR(MATCH(AZ663,D$616:D$656,0)),OFFSET(E$656,MATCH(AZ663,D$657:D$697,0),0),IF(OFFSET(E$615,MATCH(AZ663,D$616:D$656,0),0)&gt;OFFSET(E$656,MATCH(AZ663,D$657:D$697,0),0),OFFSET(E$615,MATCH(AZ663,D$616:D$656,0),0),OFFSET(E$656,MATCH(AZ663,D$657:D$697,0),0))))</f>
        <v>0</v>
      </c>
      <c r="BE663" s="112" t="n">
        <f aca="false">BE662+IF(ISERROR(BD663), 0, IF(BD663&gt;=BB663, 1, 0))</f>
        <v>21</v>
      </c>
      <c r="BF663" s="324" t="n">
        <f aca="false">IF($BY640&lt;=BF$615,MATCH(BY640,BE$617:BE$681,0))</f>
        <v>0</v>
      </c>
      <c r="BJ663" s="327" t="str">
        <f aca="false">IF(P226&lt;&gt;"",M226," ")</f>
        <v> </v>
      </c>
      <c r="BK663" s="112" t="n">
        <f aca="false">IF(P226="",0,Q226)</f>
        <v>0</v>
      </c>
      <c r="BL663" s="112" t="n">
        <f aca="false">BL662+IF(BJ663&lt;&gt;" ",BK663,0)</f>
        <v>8</v>
      </c>
      <c r="BM663" s="112" t="n">
        <f aca="false">R226</f>
        <v>0</v>
      </c>
      <c r="BN663" s="112" t="n">
        <f aca="false">BN662+IF(BJ663&lt;&gt;" ",BM663,0)</f>
        <v>2</v>
      </c>
      <c r="BO663" s="329" t="str">
        <f aca="false">BO664&amp;IF(BJ663&lt;&gt;" ",", "&amp;BJ663&amp;" ("&amp;BK663&amp;")","")</f>
        <v/>
      </c>
      <c r="BP663" s="327" t="n">
        <f aca="false">BP662+IF(BJ663&lt;&gt;" ",1,0)</f>
        <v>3</v>
      </c>
      <c r="BQ663" s="332"/>
      <c r="BY663" s="333" t="n">
        <f aca="false">BY662+1</f>
        <v>47</v>
      </c>
      <c r="BZ663" s="329" t="str">
        <f aca="false">N249</f>
        <v>Robe, Elfweave</v>
      </c>
      <c r="CA663" s="112" t="n">
        <f aca="false">Q249</f>
        <v>0</v>
      </c>
      <c r="CB663" s="112" t="n">
        <f aca="false">R249</f>
        <v>80</v>
      </c>
      <c r="CC663" s="112" t="s">
        <v>301</v>
      </c>
      <c r="CD663" s="329" t="n">
        <f aca="false">FIND(",",BZ663)</f>
        <v>5</v>
      </c>
      <c r="CE663" s="329" t="str">
        <f aca="false">IF(ISERROR(CD663),BZ663,MID(BZ663,CD663+2,20)&amp;" "&amp;LEFT(BZ663,CD663-1))&amp;IF(ISERROR(VALUE(CA663)),"",IF(CA663&gt;1," ("&amp;CA663&amp;")",""))</f>
        <v>Elfweave Robe</v>
      </c>
      <c r="CF663" s="329" t="str">
        <f aca="false">IF(CC663=" "," ",IF(ISERROR(VALUE(CA663)),CC663,CA663*CC663))</f>
        <v> </v>
      </c>
      <c r="CG663" s="112" t="n">
        <f aca="false">CG662+IF(AND(BZ663&lt;&gt;0,CA663&lt;&gt;0),1,0)</f>
        <v>4</v>
      </c>
      <c r="CH663" s="112" t="n">
        <f aca="false">IF($BY663&lt;=CH$615,MATCH($BY663,CG$617:CG$863,0))</f>
        <v>0</v>
      </c>
    </row>
    <row r="664" s="32" customFormat="true" ht="12.75" hidden="false" customHeight="false" outlineLevel="0" collapsed="false">
      <c r="B664" s="279" t="n">
        <v>2</v>
      </c>
      <c r="C664" s="67" t="str">
        <f aca="false">IF(AND(Discipline2&lt;&gt;"",Circle2&gt;=$B664),HLOOKUP(Discipline2,talentfordisc,1+BY624,0)," ")</f>
        <v> </v>
      </c>
      <c r="D664" s="67" t="str">
        <f aca="false">IF(RIGHT(C664, 3)="(D)",LEFT(C664,LEN(C664)-4),C664)</f>
        <v> </v>
      </c>
      <c r="E664" s="64" t="n">
        <f aca="false">W24</f>
        <v>0</v>
      </c>
      <c r="F664" s="182" t="n">
        <f aca="true">OFFSET(Cost_5_8,E664,0)</f>
        <v>0</v>
      </c>
      <c r="G664" s="64" t="n">
        <f aca="false">IF(C664&lt;&gt;" ",MATCH(D664,Talents!B$3:B$345,1),0)</f>
        <v>0</v>
      </c>
      <c r="H664" s="64" t="str">
        <f aca="true">IF(G664=0," ",OFFSET(Talents!C$2,G664,0))</f>
        <v> </v>
      </c>
      <c r="I664" s="64" t="n">
        <f aca="false">IF(E664&gt;0,X24,0)</f>
        <v>0</v>
      </c>
      <c r="J664" s="64" t="str">
        <f aca="false">IF(H664&lt;&gt;" ",E664+VLOOKUP(H664,G$597:L$603,6,0)+I664," ")</f>
        <v> </v>
      </c>
      <c r="K664" s="64" t="str">
        <f aca="true">IF(J664&lt;&gt;" ",OFFSET(ActionDice,J664,0),"-")</f>
        <v>-</v>
      </c>
      <c r="L664" s="67" t="n">
        <f aca="false">OR(RIGHT(C664, 3)="(D)", NOT(ISERROR(MATCH(D664&amp;" (D)", C$657:C$697, 0))))</f>
        <v>0</v>
      </c>
      <c r="M664" s="64" t="str">
        <f aca="true">IF(G664&gt;0,IF(L664,"D",OFFSET(Talents!D$2,G664,0))&amp;OFFSET(Talents!E$2,G664,0)," ")</f>
        <v> </v>
      </c>
      <c r="N664" s="64" t="n">
        <f aca="false">AND(Z24="",C664&lt;&gt;" ")</f>
        <v>0</v>
      </c>
      <c r="O664" s="300" t="n">
        <f aca="false">O663+IF(N663,1,0)</f>
        <v>18</v>
      </c>
      <c r="P664" s="324" t="n">
        <f aca="false">IF(Build!$BY664&lt;=Build!P$615,MATCH(Build!$BY664,Build!O$617:O$714,0))</f>
        <v>0</v>
      </c>
      <c r="Q664" s="42"/>
      <c r="R664" s="42"/>
      <c r="S664" s="112" t="n">
        <f aca="false">S663+IF(E162&lt;&gt;"",1,0)</f>
        <v>3</v>
      </c>
      <c r="T664" s="112"/>
      <c r="U664" s="300" t="n">
        <f aca="false">U663+IF(H410&lt;&gt;"",1,0)</f>
        <v>0</v>
      </c>
      <c r="V664" s="112" t="n">
        <f aca="false">V663+IF(H442&lt;&gt;"",1,0)</f>
        <v>0</v>
      </c>
      <c r="W664" s="112" t="n">
        <f aca="false">W663+IF(H474&lt;&gt;"",1,0)</f>
        <v>0</v>
      </c>
      <c r="X664" s="112" t="n">
        <f aca="false">X663+IF(H506&lt;&gt;"",1,0)</f>
        <v>0</v>
      </c>
      <c r="Y664" s="112" t="n">
        <f aca="false">Y663+IF(H538&lt;&gt;"",1,0)</f>
        <v>0</v>
      </c>
      <c r="Z664" s="112" t="n">
        <f aca="false">Z663+IF($H570&lt;&gt;"",1,0)</f>
        <v>0</v>
      </c>
      <c r="AA664" s="300" t="n">
        <f aca="false">IF($BY664&lt;=U$615,MATCH($BY664,U$617:U$737,0))</f>
        <v>0</v>
      </c>
      <c r="AB664" s="112" t="n">
        <f aca="false">IF($BY664&lt;=V$615,MATCH($BY664,V$617:V$737,0))</f>
        <v>0</v>
      </c>
      <c r="AC664" s="112" t="n">
        <f aca="false">IF($BY664&lt;=W$615,MATCH($BY664,W$617:W$737,0))</f>
        <v>0</v>
      </c>
      <c r="AD664" s="112" t="n">
        <f aca="false">IF($BY664&lt;=X$615,MATCH($BY664,X$617:X$737,0))</f>
        <v>0</v>
      </c>
      <c r="AE664" s="112" t="n">
        <f aca="false">IF($BY664&lt;=Y$615,MATCH($BY664,Y$617:Y$737,0))</f>
        <v>0</v>
      </c>
      <c r="AF664" s="324" t="n">
        <f aca="false">IF($BY664&lt;=Z$615,MATCH($BY664,Z$617:Z$737,0))</f>
        <v>0</v>
      </c>
      <c r="AG664" s="325" t="str">
        <f aca="true">IF(AND(AA664&lt;="",AP55=""),OFFSET(Spells!H$2,AA664,0),"")</f>
        <v>Effect</v>
      </c>
      <c r="AH664" s="325" t="str">
        <f aca="true">IF(AND(AB664&lt;="",AP55=""),OFFSET(Spells!R$2,AB664,0),"")</f>
        <v>Effect</v>
      </c>
      <c r="AI664" s="325" t="str">
        <f aca="true">IF(AND(AC664&lt;="",AP55=""),OFFSET(Spells!AB$2,AC664,0),"")</f>
        <v>Effect</v>
      </c>
      <c r="AJ664" s="326" t="str">
        <f aca="true">IF(AND(AD664&lt;="",AP55=""),OFFSET(Spells!AL$2,AD664,0),"")</f>
        <v>Effect</v>
      </c>
      <c r="AK664" s="326" t="str">
        <f aca="true">IF(AND(AE664&lt;="",AP55=""),OFFSET(Spells!AV$2,AE664,0),"")</f>
        <v>Effect</v>
      </c>
      <c r="AL664" s="325" t="str">
        <f aca="true">IF(AND(AF664&lt;="",AP55=""),OFFSET(Spells!$H$2,AF664,0),"")</f>
        <v>Effect</v>
      </c>
      <c r="AM664" s="56"/>
      <c r="AN664" s="42"/>
      <c r="AO664" s="42"/>
      <c r="AP664" s="42"/>
      <c r="AQ664" s="340"/>
      <c r="AR664" s="327" t="str">
        <f aca="false">K99&amp;IF(Q99&lt;&gt;""," ("&amp;Q99&amp;")","")</f>
        <v>Conceal Object</v>
      </c>
      <c r="AS664" s="112" t="n">
        <f aca="false">O99</f>
        <v>0</v>
      </c>
      <c r="AT664" s="112" t="n">
        <f aca="true">OFFSET(CostSkill,AS664,0)-OFFSET(CostSkill,N99,0)</f>
        <v>0</v>
      </c>
      <c r="AU664" s="112" t="str">
        <f aca="false">P99</f>
        <v>D</v>
      </c>
      <c r="AV664" s="112" t="n">
        <f aca="false">AV663+IF(AND(AR664&lt;&gt;" ",AS664&gt;0),1,0)</f>
        <v>7</v>
      </c>
      <c r="AW664" s="324"/>
      <c r="AX664" s="327" t="str">
        <f aca="false">IF(Discipline2&lt;&gt;"",HLOOKUP(Discipline2,knackfordic,BY619)," ")</f>
        <v>Angelic Appearance</v>
      </c>
      <c r="AY664" s="329" t="n">
        <f aca="false">IF(AX664&lt;&gt;" ",IF(ISERROR(MATCH(AX664,AX$621:AX$639,0)),MATCH(AX664,Talents!G$4:G$210)))</f>
        <v>0</v>
      </c>
      <c r="AZ664" s="329" t="str">
        <f aca="true">IF(AY664,OFFSET(Talents!H$2,Build!AY664,0)," ")</f>
        <v> </v>
      </c>
      <c r="BA664" s="112" t="str">
        <f aca="true">IF(AY664,OFFSET(Talents!J$2,Build!AY664,0)," ")</f>
        <v> </v>
      </c>
      <c r="BB664" s="112" t="str">
        <f aca="true">IF(AY664,OFFSET(Talents!I$2,Build!AY664,0)," ")</f>
        <v> </v>
      </c>
      <c r="BC664" s="112" t="str">
        <f aca="true">IF(AY664,OFFSET(Talents!K$1,Build!AY664,0)," ")</f>
        <v> </v>
      </c>
      <c r="BD664" s="112" t="n">
        <f aca="true">IF(AY664=0,0,IF(ISERROR(MATCH(AZ664,D$616:D$656,0)),OFFSET(E$656,MATCH(AZ664,D$657:D$697,0),0),IF(OFFSET(E$615,MATCH(AZ664,D$616:D$656,0),0)&gt;OFFSET(E$656,MATCH(AZ664,D$657:D$697,0),0),OFFSET(E$615,MATCH(AZ664,D$616:D$656,0),0),OFFSET(E$656,MATCH(AZ664,D$657:D$697,0),0))))</f>
        <v>0</v>
      </c>
      <c r="BE664" s="112" t="n">
        <f aca="false">BE663+IF(ISERROR(BD664), 0, IF(BD664&gt;=BB664, 1, 0))</f>
        <v>21</v>
      </c>
      <c r="BF664" s="324" t="n">
        <f aca="false">IF($BY641&lt;=BF$615,MATCH(BY641,BE$617:BE$681,0))</f>
        <v>0</v>
      </c>
      <c r="BJ664" s="327" t="str">
        <f aca="false">IF(P227&lt;&gt;"",M227," ")</f>
        <v> </v>
      </c>
      <c r="BK664" s="112" t="n">
        <f aca="false">IF(P227="",0,Q227)</f>
        <v>0</v>
      </c>
      <c r="BL664" s="112" t="n">
        <f aca="false">BL663+IF(BJ664&lt;&gt;" ",BK664,0)</f>
        <v>8</v>
      </c>
      <c r="BM664" s="112" t="n">
        <f aca="false">R227</f>
        <v>2</v>
      </c>
      <c r="BN664" s="112" t="n">
        <f aca="false">BN663+IF(BJ664&lt;&gt;" ",BM664,0)</f>
        <v>2</v>
      </c>
      <c r="BO664" s="329" t="str">
        <f aca="false">BO665&amp;IF(BJ664&lt;&gt;" ",", "&amp;BJ664&amp;" ("&amp;BK664&amp;")","")</f>
        <v/>
      </c>
      <c r="BP664" s="327" t="n">
        <f aca="false">BP663+IF(BJ664&lt;&gt;" ",1,0)</f>
        <v>3</v>
      </c>
      <c r="BQ664" s="332"/>
      <c r="BY664" s="333" t="n">
        <f aca="false">BY663+1</f>
        <v>48</v>
      </c>
      <c r="BZ664" s="329" t="str">
        <f aca="false">N250</f>
        <v>Sandals</v>
      </c>
      <c r="CA664" s="112" t="n">
        <f aca="false">Q250</f>
        <v>0</v>
      </c>
      <c r="CB664" s="112" t="n">
        <f aca="false">R250</f>
        <v>0.2</v>
      </c>
      <c r="CC664" s="112" t="s">
        <v>301</v>
      </c>
      <c r="CD664" s="329" t="e">
        <f aca="false">FIND(",",BZ664)</f>
        <v>#VALUE!</v>
      </c>
      <c r="CE664" s="329" t="str">
        <f aca="false">IF(ISERROR(CD664),BZ664,MID(BZ664,CD664+2,20)&amp;" "&amp;LEFT(BZ664,CD664-1))&amp;IF(ISERROR(VALUE(CA664)),"",IF(CA664&gt;1," ("&amp;CA664&amp;")",""))</f>
        <v>Sandals</v>
      </c>
      <c r="CF664" s="329" t="str">
        <f aca="false">IF(CC664=" "," ",IF(ISERROR(VALUE(CA664)),CC664,CA664*CC664))</f>
        <v> </v>
      </c>
      <c r="CG664" s="112" t="n">
        <f aca="false">CG663+IF(AND(BZ664&lt;&gt;0,CA664&lt;&gt;0),1,0)</f>
        <v>4</v>
      </c>
      <c r="CH664" s="112" t="n">
        <f aca="false">IF($BY664&lt;=CH$615,MATCH($BY664,CG$617:CG$863,0))</f>
        <v>0</v>
      </c>
    </row>
    <row r="665" s="32" customFormat="true" ht="12.75" hidden="false" customHeight="false" outlineLevel="0" collapsed="false">
      <c r="B665" s="279" t="n">
        <v>2</v>
      </c>
      <c r="C665" s="67" t="n">
        <f aca="false">AR25</f>
        <v>0</v>
      </c>
      <c r="D665" s="67" t="n">
        <f aca="false">IF(RIGHT(C665, 3)="(D)",LEFT(C665,LEN(C665)-4),C665)</f>
        <v>0</v>
      </c>
      <c r="E665" s="64" t="n">
        <f aca="false">W25</f>
        <v>0</v>
      </c>
      <c r="F665" s="182" t="n">
        <f aca="true">OFFSET(Cost_5_8,E665,0)</f>
        <v>0</v>
      </c>
      <c r="G665" s="64" t="e">
        <f aca="false">IF(C665&lt;&gt;" ",MATCH(D665,Talents!B$3:B$345,1),0)</f>
        <v>#N/A</v>
      </c>
      <c r="H665" s="64" t="e">
        <f aca="true">IF(G665=0," ",OFFSET(Talents!C$2,G665,0))</f>
        <v>#N/A</v>
      </c>
      <c r="I665" s="64" t="n">
        <f aca="false">IF(E665&gt;0,X25,0)</f>
        <v>0</v>
      </c>
      <c r="J665" s="64" t="e">
        <f aca="false">IF(H665&lt;&gt;" ",E665+VLOOKUP(H665,G$597:L$603,6,0)+I665," ")</f>
        <v>#N/A</v>
      </c>
      <c r="K665" s="64" t="e">
        <f aca="true">IF(J665&lt;&gt;" ",OFFSET(ActionDice,J665,0),"-")</f>
        <v>#N/A</v>
      </c>
      <c r="L665" s="67" t="n">
        <f aca="false">OR(RIGHT(C665, 3)="(D)", NOT(ISERROR(MATCH(D665&amp;" (D)", C$657:C$697, 0))))</f>
        <v>0</v>
      </c>
      <c r="M665" s="64" t="e">
        <f aca="true">IF(G665&gt;0,IF(L665,"D",OFFSET(Talents!D$2,G665,0))&amp;OFFSET(Talents!E$2,G665,0)," ")</f>
        <v>#N/A</v>
      </c>
      <c r="N665" s="64" t="n">
        <f aca="false">AND(Z25="",C665&lt;&gt;" ")</f>
        <v>0</v>
      </c>
      <c r="O665" s="300" t="n">
        <f aca="false">O664+IF(N664,1,0)</f>
        <v>18</v>
      </c>
      <c r="P665" s="324" t="n">
        <f aca="false">IF(Build!$BY665&lt;=Build!P$615,MATCH(Build!$BY665,Build!O$617:O$714,0))</f>
        <v>0</v>
      </c>
      <c r="Q665" s="42"/>
      <c r="R665" s="42"/>
      <c r="S665" s="112" t="n">
        <f aca="false">S664+IF(E163&lt;&gt;"",1,0)</f>
        <v>3</v>
      </c>
      <c r="T665" s="112"/>
      <c r="U665" s="300" t="n">
        <f aca="false">U664+IF(H411&lt;&gt;"",1,0)</f>
        <v>0</v>
      </c>
      <c r="V665" s="112" t="n">
        <f aca="false">V664+IF(H443&lt;&gt;"",1,0)</f>
        <v>0</v>
      </c>
      <c r="W665" s="112" t="n">
        <f aca="false">W664+IF(H475&lt;&gt;"",1,0)</f>
        <v>0</v>
      </c>
      <c r="X665" s="112" t="n">
        <f aca="false">X664+IF(H507&lt;&gt;"",1,0)</f>
        <v>0</v>
      </c>
      <c r="Y665" s="112" t="n">
        <f aca="false">Y664+IF(H539&lt;&gt;"",1,0)</f>
        <v>0</v>
      </c>
      <c r="Z665" s="112" t="n">
        <f aca="false">Z664+IF($H571&lt;&gt;"",1,0)</f>
        <v>0</v>
      </c>
      <c r="AA665" s="300" t="n">
        <f aca="false">IF($BY665&lt;=U$615,MATCH($BY665,U$617:U$737,0))</f>
        <v>0</v>
      </c>
      <c r="AB665" s="112" t="n">
        <f aca="false">IF($BY665&lt;=V$615,MATCH($BY665,V$617:V$737,0))</f>
        <v>0</v>
      </c>
      <c r="AC665" s="112" t="n">
        <f aca="false">IF($BY665&lt;=W$615,MATCH($BY665,W$617:W$737,0))</f>
        <v>0</v>
      </c>
      <c r="AD665" s="112" t="n">
        <f aca="false">IF($BY665&lt;=X$615,MATCH($BY665,X$617:X$737,0))</f>
        <v>0</v>
      </c>
      <c r="AE665" s="112" t="n">
        <f aca="false">IF($BY665&lt;=Y$615,MATCH($BY665,Y$617:Y$737,0))</f>
        <v>0</v>
      </c>
      <c r="AF665" s="324" t="n">
        <f aca="false">IF($BY665&lt;=Z$615,MATCH($BY665,Z$617:Z$737,0))</f>
        <v>0</v>
      </c>
      <c r="AG665" s="325" t="str">
        <f aca="true">IF(AND(AA665&lt;="",AP56=""),OFFSET(Spells!H$2,AA665,0),"")</f>
        <v>Effect</v>
      </c>
      <c r="AH665" s="325" t="str">
        <f aca="true">IF(AND(AB665&lt;="",AP56=""),OFFSET(Spells!R$2,AB665,0),"")</f>
        <v>Effect</v>
      </c>
      <c r="AI665" s="325" t="str">
        <f aca="true">IF(AND(AC665&lt;="",AP56=""),OFFSET(Spells!AB$2,AC665,0),"")</f>
        <v>Effect</v>
      </c>
      <c r="AJ665" s="326" t="str">
        <f aca="true">IF(AND(AD665&lt;="",AP56=""),OFFSET(Spells!AL$2,AD665,0),"")</f>
        <v>Effect</v>
      </c>
      <c r="AK665" s="326" t="str">
        <f aca="true">IF(AND(AE665&lt;="",AP56=""),OFFSET(Spells!AV$2,AE665,0),"")</f>
        <v>Effect</v>
      </c>
      <c r="AL665" s="325" t="str">
        <f aca="true">IF(AND(AF665&lt;="",AP56=""),OFFSET(Spells!$H$2,AF665,0),"")</f>
        <v>Effect</v>
      </c>
      <c r="AM665" s="56"/>
      <c r="AN665" s="42"/>
      <c r="AO665" s="42"/>
      <c r="AP665" s="42"/>
      <c r="AQ665" s="340"/>
      <c r="AR665" s="327" t="str">
        <f aca="false">K100&amp;IF(Q100&lt;&gt;""," ("&amp;Q100&amp;")","")</f>
        <v>Conversation</v>
      </c>
      <c r="AS665" s="112" t="n">
        <f aca="false">O100</f>
        <v>2</v>
      </c>
      <c r="AT665" s="112" t="n">
        <f aca="true">OFFSET(CostSkill,AS665,0)-OFFSET(CostSkill,N100,0)</f>
        <v>0</v>
      </c>
      <c r="AU665" s="112" t="str">
        <f aca="false">P100</f>
        <v>C</v>
      </c>
      <c r="AV665" s="112" t="n">
        <f aca="false">AV664+IF(AND(AR665&lt;&gt;" ",AS665&gt;0),1,0)</f>
        <v>8</v>
      </c>
      <c r="AW665" s="324"/>
      <c r="AX665" s="327" t="str">
        <f aca="false">IF(Discipline2&lt;&gt;"",HLOOKUP(Discipline2,knackfordic,BY620)," ")</f>
        <v>Armor Beater</v>
      </c>
      <c r="AY665" s="329" t="n">
        <f aca="false">IF(AX665&lt;&gt;" ",IF(ISERROR(MATCH(AX665,AX$621:AX$639,0)),MATCH(AX665,Talents!G$4:G$210)))</f>
        <v>0</v>
      </c>
      <c r="AZ665" s="329" t="str">
        <f aca="true">IF(AY665,OFFSET(Talents!H$2,Build!AY665,0)," ")</f>
        <v> </v>
      </c>
      <c r="BA665" s="112" t="str">
        <f aca="true">IF(AY665,OFFSET(Talents!J$2,Build!AY665,0)," ")</f>
        <v> </v>
      </c>
      <c r="BB665" s="112" t="str">
        <f aca="true">IF(AY665,OFFSET(Talents!I$2,Build!AY665,0)," ")</f>
        <v> </v>
      </c>
      <c r="BC665" s="112" t="str">
        <f aca="true">IF(AY665,OFFSET(Talents!K$1,Build!AY665,0)," ")</f>
        <v> </v>
      </c>
      <c r="BD665" s="112" t="n">
        <f aca="true">IF(AY665=0,0,IF(ISERROR(MATCH(AZ665,D$616:D$656,0)),OFFSET(E$656,MATCH(AZ665,D$657:D$697,0),0),IF(OFFSET(E$615,MATCH(AZ665,D$616:D$656,0),0)&gt;OFFSET(E$656,MATCH(AZ665,D$657:D$697,0),0),OFFSET(E$615,MATCH(AZ665,D$616:D$656,0),0),OFFSET(E$656,MATCH(AZ665,D$657:D$697,0),0))))</f>
        <v>0</v>
      </c>
      <c r="BE665" s="112" t="n">
        <f aca="false">BE664+IF(ISERROR(BD665), 0, IF(BD665&gt;=BB665, 1, 0))</f>
        <v>21</v>
      </c>
      <c r="BF665" s="324" t="n">
        <f aca="false">IF($BY642&lt;=BF$615,MATCH(BY642,BE$617:BE$681,0))</f>
        <v>0</v>
      </c>
      <c r="BJ665" s="327" t="str">
        <f aca="false">IF(P228&lt;&gt;"",M228," ")</f>
        <v> </v>
      </c>
      <c r="BK665" s="112" t="n">
        <f aca="false">IF(P228="",0,Q228)</f>
        <v>0</v>
      </c>
      <c r="BL665" s="112" t="n">
        <f aca="false">BL664+IF(BJ665&lt;&gt;" ",BK665,0)</f>
        <v>8</v>
      </c>
      <c r="BM665" s="112" t="n">
        <f aca="false">R228</f>
        <v>1</v>
      </c>
      <c r="BN665" s="112" t="n">
        <f aca="false">BN664+IF(BJ665&lt;&gt;" ",BM665,0)</f>
        <v>2</v>
      </c>
      <c r="BO665" s="329" t="str">
        <f aca="false">BO666&amp;IF(BJ665&lt;&gt;" ",", "&amp;BJ665&amp;" ("&amp;BK665&amp;")","")</f>
        <v/>
      </c>
      <c r="BP665" s="327" t="n">
        <f aca="false">BP664+IF(BJ665&lt;&gt;" ",1,0)</f>
        <v>3</v>
      </c>
      <c r="BQ665" s="332"/>
      <c r="BY665" s="333" t="n">
        <f aca="false">BY664+1</f>
        <v>49</v>
      </c>
      <c r="BZ665" s="329" t="str">
        <f aca="false">T235</f>
        <v>Shirt, Plain</v>
      </c>
      <c r="CA665" s="112" t="n">
        <f aca="false">W235</f>
        <v>0</v>
      </c>
      <c r="CB665" s="112" t="n">
        <f aca="false">X235</f>
        <v>0.2</v>
      </c>
      <c r="CC665" s="112" t="s">
        <v>301</v>
      </c>
      <c r="CD665" s="329" t="n">
        <f aca="false">FIND(",",BZ665)</f>
        <v>6</v>
      </c>
      <c r="CE665" s="329" t="str">
        <f aca="false">IF(ISERROR(CD665),BZ665,MID(BZ665,CD665+2,20)&amp;" "&amp;LEFT(BZ665,CD665-1))&amp;IF(ISERROR(VALUE(CA665)),"",IF(CA665&gt;1," ("&amp;CA665&amp;")",""))</f>
        <v>Plain Shirt</v>
      </c>
      <c r="CF665" s="329" t="str">
        <f aca="false">IF(CC665=" "," ",IF(ISERROR(VALUE(CA665)),CC665,CA665*CC665))</f>
        <v> </v>
      </c>
      <c r="CG665" s="112" t="n">
        <f aca="false">CG664+IF(AND(BZ665&lt;&gt;0,CA665&lt;&gt;0),1,0)</f>
        <v>4</v>
      </c>
      <c r="CH665" s="112" t="n">
        <f aca="false">IF($BY665&lt;=CH$615,MATCH($BY665,CG$617:CG$863,0))</f>
        <v>0</v>
      </c>
    </row>
    <row r="666" s="32" customFormat="true" ht="12.75" hidden="false" customHeight="false" outlineLevel="0" collapsed="false">
      <c r="B666" s="279" t="n">
        <v>2</v>
      </c>
      <c r="C666" s="67" t="n">
        <f aca="false">AR26</f>
        <v>0</v>
      </c>
      <c r="D666" s="67" t="n">
        <f aca="false">IF(RIGHT(C666, 3)="(D)",LEFT(C666,LEN(C666)-4),C666)</f>
        <v>0</v>
      </c>
      <c r="E666" s="64" t="n">
        <f aca="false">W26</f>
        <v>0</v>
      </c>
      <c r="F666" s="182" t="n">
        <f aca="true">OFFSET(Cost_5_8,E666,0)</f>
        <v>0</v>
      </c>
      <c r="G666" s="64" t="e">
        <f aca="false">IF(C666&lt;&gt;" ",MATCH(D666,Talents!B$3:B$345,1),0)</f>
        <v>#N/A</v>
      </c>
      <c r="H666" s="64" t="e">
        <f aca="true">IF(G666=0," ",OFFSET(Talents!C$2,G666,0))</f>
        <v>#N/A</v>
      </c>
      <c r="I666" s="64" t="n">
        <f aca="false">IF(E666&gt;0,X26,0)</f>
        <v>0</v>
      </c>
      <c r="J666" s="64" t="e">
        <f aca="false">IF(H666&lt;&gt;" ",E666+VLOOKUP(H666,G$597:L$603,6,0)+I666," ")</f>
        <v>#N/A</v>
      </c>
      <c r="K666" s="64" t="e">
        <f aca="true">IF(J666&lt;&gt;" ",OFFSET(ActionDice,J666,0),"-")</f>
        <v>#N/A</v>
      </c>
      <c r="L666" s="67" t="n">
        <f aca="false">OR(RIGHT(C666, 3)="(D)", NOT(ISERROR(MATCH(D666&amp;" (D)", C$657:C$697, 0))))</f>
        <v>0</v>
      </c>
      <c r="M666" s="64" t="e">
        <f aca="true">IF(G666&gt;0,IF(L666,"D",OFFSET(Talents!D$2,G666,0))&amp;OFFSET(Talents!E$2,G666,0)," ")</f>
        <v>#N/A</v>
      </c>
      <c r="N666" s="64" t="n">
        <f aca="false">AND(Z26="",C666&lt;&gt;" ")</f>
        <v>0</v>
      </c>
      <c r="O666" s="300" t="n">
        <f aca="false">O665+IF(N665,1,0)</f>
        <v>18</v>
      </c>
      <c r="P666" s="324" t="n">
        <f aca="false">IF(Build!$BY666&lt;=Build!P$615,MATCH(Build!$BY666,Build!O$617:O$714,0))</f>
        <v>0</v>
      </c>
      <c r="S666" s="112" t="n">
        <f aca="false">S665+IF(E164&lt;&gt;"",1,0)</f>
        <v>3</v>
      </c>
      <c r="T666" s="112"/>
      <c r="U666" s="300" t="n">
        <f aca="false">U665+IF(H412&lt;&gt;"",1,0)</f>
        <v>0</v>
      </c>
      <c r="V666" s="112" t="n">
        <f aca="false">V665+IF(H444&lt;&gt;"",1,0)</f>
        <v>0</v>
      </c>
      <c r="W666" s="112" t="n">
        <f aca="false">W665+IF(H476&lt;&gt;"",1,0)</f>
        <v>0</v>
      </c>
      <c r="X666" s="112" t="n">
        <f aca="false">X665+IF(H508&lt;&gt;"",1,0)</f>
        <v>0</v>
      </c>
      <c r="Y666" s="112" t="n">
        <f aca="false">Y665+IF(H540&lt;&gt;"",1,0)</f>
        <v>0</v>
      </c>
      <c r="Z666" s="112" t="n">
        <f aca="false">Z665+IF($H572&lt;&gt;"",1,0)</f>
        <v>0</v>
      </c>
      <c r="AA666" s="300" t="n">
        <f aca="false">IF($BY666&lt;=U$615,MATCH($BY666,U$617:U$737,0))</f>
        <v>0</v>
      </c>
      <c r="AB666" s="112" t="n">
        <f aca="false">IF($BY666&lt;=V$615,MATCH($BY666,V$617:V$737,0))</f>
        <v>0</v>
      </c>
      <c r="AC666" s="112" t="n">
        <f aca="false">IF($BY666&lt;=W$615,MATCH($BY666,W$617:W$737,0))</f>
        <v>0</v>
      </c>
      <c r="AD666" s="112" t="n">
        <f aca="false">IF($BY666&lt;=X$615,MATCH($BY666,X$617:X$737,0))</f>
        <v>0</v>
      </c>
      <c r="AE666" s="112" t="n">
        <f aca="false">IF($BY666&lt;=Y$615,MATCH($BY666,Y$617:Y$737,0))</f>
        <v>0</v>
      </c>
      <c r="AF666" s="324" t="n">
        <f aca="false">IF($BY666&lt;=Z$615,MATCH($BY666,Z$617:Z$737,0))</f>
        <v>0</v>
      </c>
      <c r="AG666" s="325" t="str">
        <f aca="true">IF(AND(AA666&lt;="",AP57=""),OFFSET(Spells!H$2,AA666,0),"")</f>
        <v>Effect</v>
      </c>
      <c r="AH666" s="325" t="str">
        <f aca="true">IF(AND(AB666&lt;="",AP57=""),OFFSET(Spells!R$2,AB666,0),"")</f>
        <v>Effect</v>
      </c>
      <c r="AI666" s="325" t="str">
        <f aca="true">IF(AND(AC666&lt;="",AP57=""),OFFSET(Spells!AB$2,AC666,0),"")</f>
        <v>Effect</v>
      </c>
      <c r="AJ666" s="326" t="str">
        <f aca="true">IF(AND(AD666&lt;="",AP57=""),OFFSET(Spells!AL$2,AD666,0),"")</f>
        <v>Effect</v>
      </c>
      <c r="AK666" s="326" t="str">
        <f aca="true">IF(AND(AE666&lt;="",AP57=""),OFFSET(Spells!AV$2,AE666,0),"")</f>
        <v>Effect</v>
      </c>
      <c r="AL666" s="325" t="str">
        <f aca="true">IF(AND(AF666&lt;="",AP57=""),OFFSET(Spells!$H$2,AF666,0),"")</f>
        <v>Effect</v>
      </c>
      <c r="AM666" s="56"/>
      <c r="AN666" s="42"/>
      <c r="AO666" s="42"/>
      <c r="AP666" s="42"/>
      <c r="AQ666" s="340"/>
      <c r="AR666" s="327" t="str">
        <f aca="false">K101&amp;IF(Q101&lt;&gt;""," ("&amp;Q101&amp;")","")</f>
        <v>Craft Armor</v>
      </c>
      <c r="AS666" s="112" t="n">
        <f aca="false">O101</f>
        <v>0</v>
      </c>
      <c r="AT666" s="112" t="n">
        <f aca="true">OFFSET(CostSkill,AS666,0)-OFFSET(CostSkill,N101,0)</f>
        <v>0</v>
      </c>
      <c r="AU666" s="112" t="str">
        <f aca="false">P101</f>
        <v>P</v>
      </c>
      <c r="AV666" s="112" t="n">
        <f aca="false">AV665+IF(AND(AR666&lt;&gt;" ",AS666&gt;0),1,0)</f>
        <v>8</v>
      </c>
      <c r="AW666" s="324"/>
      <c r="AX666" s="327" t="str">
        <f aca="false">IF(Discipline2&lt;&gt;"",HLOOKUP(Discipline2,knackfordic,BY621)," ")</f>
        <v>Arrow Catch</v>
      </c>
      <c r="AY666" s="329" t="n">
        <f aca="false">IF(AX666&lt;&gt;" ",IF(ISERROR(MATCH(AX666,AX$621:AX$639,0)),MATCH(AX666,Talents!G$4:G$210)))</f>
        <v>0</v>
      </c>
      <c r="AZ666" s="329" t="str">
        <f aca="true">IF(AY666,OFFSET(Talents!H$2,Build!AY666,0)," ")</f>
        <v> </v>
      </c>
      <c r="BA666" s="112" t="str">
        <f aca="true">IF(AY666,OFFSET(Talents!J$2,Build!AY666,0)," ")</f>
        <v> </v>
      </c>
      <c r="BB666" s="112" t="str">
        <f aca="true">IF(AY666,OFFSET(Talents!I$2,Build!AY666,0)," ")</f>
        <v> </v>
      </c>
      <c r="BC666" s="112" t="str">
        <f aca="true">IF(AY666,OFFSET(Talents!K$1,Build!AY666,0)," ")</f>
        <v> </v>
      </c>
      <c r="BD666" s="112" t="n">
        <f aca="true">IF(AY666=0,0,IF(ISERROR(MATCH(AZ666,D$616:D$656,0)),OFFSET(E$656,MATCH(AZ666,D$657:D$697,0),0),IF(OFFSET(E$615,MATCH(AZ666,D$616:D$656,0),0)&gt;OFFSET(E$656,MATCH(AZ666,D$657:D$697,0),0),OFFSET(E$615,MATCH(AZ666,D$616:D$656,0),0),OFFSET(E$656,MATCH(AZ666,D$657:D$697,0),0))))</f>
        <v>0</v>
      </c>
      <c r="BE666" s="112" t="n">
        <f aca="false">BE665+IF(ISERROR(BD666), 0, IF(BD666&gt;=BB666, 1, 0))</f>
        <v>21</v>
      </c>
      <c r="BF666" s="324" t="n">
        <f aca="false">IF($BY643&lt;=BF$615,MATCH(BY643,BE$617:BE$681,0))</f>
        <v>0</v>
      </c>
      <c r="BJ666" s="327" t="str">
        <f aca="false">IF(P229&lt;&gt;"",M229," ")</f>
        <v> </v>
      </c>
      <c r="BK666" s="112" t="n">
        <f aca="false">IF(P229="",0,Q229)</f>
        <v>0</v>
      </c>
      <c r="BL666" s="112" t="n">
        <f aca="false">BL665+IF(BJ666&lt;&gt;" ",BK666,0)</f>
        <v>8</v>
      </c>
      <c r="BM666" s="112" t="n">
        <f aca="false">R229</f>
        <v>0</v>
      </c>
      <c r="BN666" s="112" t="n">
        <f aca="false">BN665+IF(BJ666&lt;&gt;" ",BM666,0)</f>
        <v>2</v>
      </c>
      <c r="BO666" s="329" t="str">
        <f aca="false">BO667&amp;IF(BJ666&lt;&gt;" ",", "&amp;BJ666&amp;" ("&amp;BK666&amp;")","")</f>
        <v/>
      </c>
      <c r="BP666" s="327" t="n">
        <f aca="false">BP665+IF(BJ666&lt;&gt;" ",1,0)</f>
        <v>3</v>
      </c>
      <c r="BQ666" s="332"/>
      <c r="BY666" s="333" t="n">
        <f aca="false">BY665+1</f>
        <v>50</v>
      </c>
      <c r="BZ666" s="329" t="str">
        <f aca="false">T236</f>
        <v>Shirt, Patterned</v>
      </c>
      <c r="CA666" s="112" t="str">
        <f aca="false">W236</f>
        <v>X</v>
      </c>
      <c r="CB666" s="112" t="n">
        <f aca="false">X236</f>
        <v>1</v>
      </c>
      <c r="CC666" s="112" t="s">
        <v>301</v>
      </c>
      <c r="CD666" s="329" t="n">
        <f aca="false">FIND(",",BZ666)</f>
        <v>6</v>
      </c>
      <c r="CE666" s="329" t="str">
        <f aca="false">IF(ISERROR(CD666),BZ666,MID(BZ666,CD666+2,20)&amp;" "&amp;LEFT(BZ666,CD666-1))&amp;IF(ISERROR(VALUE(CA666)),"",IF(CA666&gt;1," ("&amp;CA666&amp;")",""))</f>
        <v>Patterned Shirt</v>
      </c>
      <c r="CF666" s="329" t="str">
        <f aca="false">IF(CC666=" "," ",IF(ISERROR(VALUE(CA666)),CC666,CA666*CC666))</f>
        <v> </v>
      </c>
      <c r="CG666" s="112" t="n">
        <f aca="false">CG665+IF(AND(BZ666&lt;&gt;0,CA666&lt;&gt;0),1,0)</f>
        <v>5</v>
      </c>
      <c r="CH666" s="112" t="n">
        <f aca="false">IF($BY666&lt;=CH$615,MATCH($BY666,CG$617:CG$863,0))</f>
        <v>0</v>
      </c>
    </row>
    <row r="667" s="32" customFormat="true" ht="12.75" hidden="false" customHeight="false" outlineLevel="0" collapsed="false">
      <c r="B667" s="279" t="n">
        <v>3</v>
      </c>
      <c r="C667" s="67" t="str">
        <f aca="false">IF(AND(Discipline2&lt;&gt;"",Circle2&gt;=$B667),HLOOKUP(Discipline2,talentfordisc,1+BY627,0)," ")</f>
        <v> </v>
      </c>
      <c r="D667" s="67" t="str">
        <f aca="false">IF(RIGHT(C667, 3)="(D)",LEFT(C667,LEN(C667)-4),C667)</f>
        <v> </v>
      </c>
      <c r="E667" s="64" t="n">
        <f aca="false">W27</f>
        <v>0</v>
      </c>
      <c r="F667" s="182" t="n">
        <f aca="true">OFFSET(Cost_5_8,E667,0)</f>
        <v>0</v>
      </c>
      <c r="G667" s="64" t="n">
        <f aca="false">IF(C667&lt;&gt;" ",MATCH(D667,Talents!B$3:B$345,1),0)</f>
        <v>0</v>
      </c>
      <c r="H667" s="64" t="str">
        <f aca="true">IF(G667=0," ",OFFSET(Talents!C$2,G667,0))</f>
        <v> </v>
      </c>
      <c r="I667" s="64" t="n">
        <f aca="false">IF(E667&gt;0,X27,0)</f>
        <v>0</v>
      </c>
      <c r="J667" s="64" t="str">
        <f aca="false">IF(H667&lt;&gt;" ",E667+VLOOKUP(H667,G$597:L$603,6,0)+I667," ")</f>
        <v> </v>
      </c>
      <c r="K667" s="64" t="str">
        <f aca="true">IF(J667&lt;&gt;" ",OFFSET(ActionDice,J667,0),"-")</f>
        <v>-</v>
      </c>
      <c r="L667" s="67" t="n">
        <f aca="false">OR(RIGHT(C667, 3)="(D)", NOT(ISERROR(MATCH(D667&amp;" (D)", C$657:C$697, 0))))</f>
        <v>0</v>
      </c>
      <c r="M667" s="64" t="str">
        <f aca="true">IF(G667&gt;0,IF(L667,"D",OFFSET(Talents!D$2,G667,0))&amp;OFFSET(Talents!E$2,G667,0)," ")</f>
        <v> </v>
      </c>
      <c r="N667" s="64" t="n">
        <f aca="false">AND(Z27="",C667&lt;&gt;" ")</f>
        <v>0</v>
      </c>
      <c r="O667" s="300" t="n">
        <f aca="false">O666+IF(N666,1,0)</f>
        <v>18</v>
      </c>
      <c r="P667" s="324" t="n">
        <f aca="false">IF(Build!$BY667&lt;=Build!P$615,MATCH(Build!$BY667,Build!O$617:O$714,0))</f>
        <v>0</v>
      </c>
      <c r="S667" s="112" t="n">
        <f aca="false">S666+IF(E165&lt;&gt;"",1,0)</f>
        <v>3</v>
      </c>
      <c r="T667" s="112"/>
      <c r="U667" s="300" t="n">
        <f aca="false">U666+IF(H413&lt;&gt;"",1,0)</f>
        <v>0</v>
      </c>
      <c r="V667" s="112" t="n">
        <f aca="false">V666+IF(H445&lt;&gt;"",1,0)</f>
        <v>0</v>
      </c>
      <c r="W667" s="112" t="n">
        <f aca="false">W666+IF(H477&lt;&gt;"",1,0)</f>
        <v>0</v>
      </c>
      <c r="X667" s="112" t="n">
        <f aca="false">X666+IF(H509&lt;&gt;"",1,0)</f>
        <v>0</v>
      </c>
      <c r="Y667" s="112" t="n">
        <f aca="false">Y666+IF(H541&lt;&gt;"",1,0)</f>
        <v>0</v>
      </c>
      <c r="Z667" s="112" t="n">
        <f aca="false">Z666+IF($H573&lt;&gt;"",1,0)</f>
        <v>0</v>
      </c>
      <c r="AA667" s="300" t="n">
        <f aca="false">IF($BY667&lt;=U$615,MATCH($BY667,U$617:U$737,0))</f>
        <v>0</v>
      </c>
      <c r="AB667" s="112" t="n">
        <f aca="false">IF($BY667&lt;=V$615,MATCH($BY667,V$617:V$737,0))</f>
        <v>0</v>
      </c>
      <c r="AC667" s="112" t="n">
        <f aca="false">IF($BY667&lt;=W$615,MATCH($BY667,W$617:W$737,0))</f>
        <v>0</v>
      </c>
      <c r="AD667" s="112" t="n">
        <f aca="false">IF($BY667&lt;=X$615,MATCH($BY667,X$617:X$737,0))</f>
        <v>0</v>
      </c>
      <c r="AE667" s="112" t="n">
        <f aca="false">IF($BY667&lt;=Y$615,MATCH($BY667,Y$617:Y$737,0))</f>
        <v>0</v>
      </c>
      <c r="AF667" s="324" t="n">
        <f aca="false">IF($BY667&lt;=Z$615,MATCH($BY667,Z$617:Z$737,0))</f>
        <v>0</v>
      </c>
      <c r="AG667" s="325" t="str">
        <f aca="true">IF(AND(AA667&lt;="",AP58=""),OFFSET(Spells!H$2,AA667,0),"")</f>
        <v>Effect</v>
      </c>
      <c r="AH667" s="325" t="str">
        <f aca="true">IF(AND(AB667&lt;="",AP58=""),OFFSET(Spells!R$2,AB667,0),"")</f>
        <v>Effect</v>
      </c>
      <c r="AI667" s="325" t="str">
        <f aca="true">IF(AND(AC667&lt;="",AP58=""),OFFSET(Spells!AB$2,AC667,0),"")</f>
        <v>Effect</v>
      </c>
      <c r="AJ667" s="326" t="str">
        <f aca="true">IF(AND(AD667&lt;="",AP58=""),OFFSET(Spells!AL$2,AD667,0),"")</f>
        <v>Effect</v>
      </c>
      <c r="AK667" s="326" t="str">
        <f aca="true">IF(AND(AE667&lt;="",AP58=""),OFFSET(Spells!AV$2,AE667,0),"")</f>
        <v>Effect</v>
      </c>
      <c r="AL667" s="325" t="str">
        <f aca="true">IF(AND(AF667&lt;="",AP58=""),OFFSET(Spells!$H$2,AF667,0),"")</f>
        <v>Effect</v>
      </c>
      <c r="AM667" s="56"/>
      <c r="AN667" s="42"/>
      <c r="AO667" s="42"/>
      <c r="AP667" s="42"/>
      <c r="AQ667" s="340"/>
      <c r="AR667" s="327" t="str">
        <f aca="false">K102&amp;IF(Q102&lt;&gt;""," ("&amp;Q102&amp;")","")</f>
        <v>Craft Weapon</v>
      </c>
      <c r="AS667" s="112" t="n">
        <f aca="false">O102</f>
        <v>0</v>
      </c>
      <c r="AT667" s="112" t="n">
        <f aca="true">OFFSET(CostSkill,AS667,0)-OFFSET(CostSkill,N102,0)</f>
        <v>0</v>
      </c>
      <c r="AU667" s="112" t="str">
        <f aca="false">P102</f>
        <v>P</v>
      </c>
      <c r="AV667" s="112" t="n">
        <f aca="false">AV666+IF(AND(AR667&lt;&gt;" ",AS667&gt;0),1,0)</f>
        <v>8</v>
      </c>
      <c r="AW667" s="324"/>
      <c r="AX667" s="327" t="str">
        <f aca="false">IF(Discipline2&lt;&gt;"",HLOOKUP(Discipline2,knackfordic,BY622)," ")</f>
        <v>Astral Hideout</v>
      </c>
      <c r="AY667" s="329" t="n">
        <f aca="false">IF(AX667&lt;&gt;" ",IF(ISERROR(MATCH(AX667,AX$621:AX$639,0)),MATCH(AX667,Talents!G$4:G$210)))</f>
        <v>14</v>
      </c>
      <c r="AZ667" s="329" t="str">
        <f aca="true">IF(AY667,OFFSET(Talents!H$2,Build!AY667,0)," ")</f>
        <v>Air Sailing</v>
      </c>
      <c r="BA667" s="112" t="n">
        <f aca="true">IF(AY667,OFFSET(Talents!J$2,Build!AY667,0)," ")</f>
        <v>4</v>
      </c>
      <c r="BB667" s="112" t="n">
        <f aca="true">IF(AY667,OFFSET(Talents!I$2,Build!AY667,0)," ")</f>
        <v>6</v>
      </c>
      <c r="BC667" s="112" t="n">
        <f aca="true">IF(AY667,OFFSET(Talents!K$1,Build!AY667,0)," ")</f>
        <v>3400</v>
      </c>
      <c r="BD667" s="112" t="e">
        <f aca="true">IF(AY667=0,0,IF(ISERROR(MATCH(AZ667,D$616:D$656,0)),OFFSET(E$656,MATCH(AZ667,D$657:D$697,0),0),IF(OFFSET(E$615,MATCH(AZ667,D$616:D$656,0),0)&gt;OFFSET(E$656,MATCH(AZ667,D$657:D$697,0),0),OFFSET(E$615,MATCH(AZ667,D$616:D$656,0),0),OFFSET(E$656,MATCH(AZ667,D$657:D$697,0),0))))</f>
        <v>#N/A</v>
      </c>
      <c r="BE667" s="112" t="n">
        <f aca="false">BE666+IF(ISERROR(BD667), 0, IF(BD667&gt;=BB667, 1, 0))</f>
        <v>21</v>
      </c>
      <c r="BF667" s="324" t="n">
        <f aca="false">IF($BY644&lt;=BF$615,MATCH(BY644,BE$617:BE$681,0))</f>
        <v>0</v>
      </c>
      <c r="BJ667" s="327" t="str">
        <f aca="false">IF(P230&lt;&gt;"",M230," ")</f>
        <v> </v>
      </c>
      <c r="BK667" s="112" t="n">
        <f aca="false">IF(P230="",0,Q230)</f>
        <v>0</v>
      </c>
      <c r="BL667" s="112" t="n">
        <f aca="false">BL666+IF(BJ667&lt;&gt;" ",BK667,0)</f>
        <v>8</v>
      </c>
      <c r="BM667" s="112" t="n">
        <f aca="false">R230</f>
        <v>1</v>
      </c>
      <c r="BN667" s="112" t="n">
        <f aca="false">BN666+IF(BJ667&lt;&gt;" ",BM667,0)</f>
        <v>2</v>
      </c>
      <c r="BO667" s="329" t="str">
        <f aca="false">BO668&amp;IF(BJ667&lt;&gt;" ",", "&amp;BJ667&amp;" ("&amp;BK667&amp;")","")</f>
        <v/>
      </c>
      <c r="BP667" s="327" t="n">
        <f aca="false">BP666+IF(BJ667&lt;&gt;" ",1,0)</f>
        <v>3</v>
      </c>
      <c r="BQ667" s="332"/>
      <c r="BY667" s="333" t="n">
        <f aca="false">BY666+1</f>
        <v>51</v>
      </c>
      <c r="BZ667" s="329" t="str">
        <f aca="false">T237</f>
        <v>Shirt, Silk</v>
      </c>
      <c r="CA667" s="112" t="n">
        <f aca="false">W237</f>
        <v>0</v>
      </c>
      <c r="CB667" s="112" t="n">
        <f aca="false">X237</f>
        <v>45</v>
      </c>
      <c r="CC667" s="112" t="s">
        <v>301</v>
      </c>
      <c r="CD667" s="329" t="n">
        <f aca="false">FIND(",",BZ667)</f>
        <v>6</v>
      </c>
      <c r="CE667" s="329" t="str">
        <f aca="false">IF(ISERROR(CD667),BZ667,MID(BZ667,CD667+2,20)&amp;" "&amp;LEFT(BZ667,CD667-1))&amp;IF(ISERROR(VALUE(CA667)),"",IF(CA667&gt;1," ("&amp;CA667&amp;")",""))</f>
        <v>Silk Shirt</v>
      </c>
      <c r="CF667" s="329" t="str">
        <f aca="false">IF(CC667=" "," ",IF(ISERROR(VALUE(CA667)),CC667,CA667*CC667))</f>
        <v> </v>
      </c>
      <c r="CG667" s="112" t="n">
        <f aca="false">CG666+IF(AND(BZ667&lt;&gt;0,CA667&lt;&gt;0),1,0)</f>
        <v>5</v>
      </c>
      <c r="CH667" s="112" t="n">
        <f aca="false">IF($BY667&lt;=CH$615,MATCH($BY667,CG$617:CG$863,0))</f>
        <v>0</v>
      </c>
    </row>
    <row r="668" s="32" customFormat="true" ht="12.75" hidden="false" customHeight="false" outlineLevel="0" collapsed="false">
      <c r="B668" s="279" t="n">
        <v>3</v>
      </c>
      <c r="C668" s="67" t="n">
        <f aca="false">AR28</f>
        <v>0</v>
      </c>
      <c r="D668" s="67" t="n">
        <f aca="false">IF(RIGHT(C668, 3)="(D)",LEFT(C668,LEN(C668)-4),C668)</f>
        <v>0</v>
      </c>
      <c r="E668" s="64" t="n">
        <f aca="false">W28</f>
        <v>0</v>
      </c>
      <c r="F668" s="182" t="n">
        <f aca="true">OFFSET(Cost_5_8,E668,0)</f>
        <v>0</v>
      </c>
      <c r="G668" s="64" t="e">
        <f aca="false">IF(C668&lt;&gt;" ",MATCH(D668,Talents!B$3:B$345,1),0)</f>
        <v>#N/A</v>
      </c>
      <c r="H668" s="64" t="e">
        <f aca="true">IF(G668=0," ",OFFSET(Talents!C$2,G668,0))</f>
        <v>#N/A</v>
      </c>
      <c r="I668" s="64" t="n">
        <f aca="false">IF(E668&gt;0,X28,0)</f>
        <v>0</v>
      </c>
      <c r="J668" s="64" t="e">
        <f aca="false">IF(H668&lt;&gt;" ",E668+VLOOKUP(H668,G$597:L$603,6,0)+I668," ")</f>
        <v>#N/A</v>
      </c>
      <c r="K668" s="64" t="e">
        <f aca="true">IF(J668&lt;&gt;" ",OFFSET(ActionDice,J668,0),"-")</f>
        <v>#N/A</v>
      </c>
      <c r="L668" s="67" t="n">
        <f aca="false">OR(RIGHT(C668, 3)="(D)", NOT(ISERROR(MATCH(D668&amp;" (D)", C$657:C$697, 0))))</f>
        <v>0</v>
      </c>
      <c r="M668" s="64" t="e">
        <f aca="true">IF(G668&gt;0,IF(L668,"D",OFFSET(Talents!D$2,G668,0))&amp;OFFSET(Talents!E$2,G668,0)," ")</f>
        <v>#N/A</v>
      </c>
      <c r="N668" s="64" t="n">
        <f aca="false">AND(Z28="",C668&lt;&gt;" ")</f>
        <v>0</v>
      </c>
      <c r="O668" s="300" t="n">
        <f aca="false">O667+IF(N667,1,0)</f>
        <v>18</v>
      </c>
      <c r="P668" s="324" t="n">
        <f aca="false">IF(Build!$BY668&lt;=Build!P$615,MATCH(Build!$BY668,Build!O$617:O$714,0))</f>
        <v>0</v>
      </c>
      <c r="S668" s="112" t="n">
        <f aca="false">S667+IF(E166&lt;&gt;"",1,0)</f>
        <v>3</v>
      </c>
      <c r="T668" s="112"/>
      <c r="U668" s="300" t="n">
        <f aca="false">U667+IF(H414&lt;&gt;"",1,0)</f>
        <v>0</v>
      </c>
      <c r="V668" s="112" t="n">
        <f aca="false">V667+IF(H446&lt;&gt;"",1,0)</f>
        <v>0</v>
      </c>
      <c r="W668" s="112" t="n">
        <f aca="false">W667+IF(H478&lt;&gt;"",1,0)</f>
        <v>0</v>
      </c>
      <c r="X668" s="112" t="n">
        <f aca="false">X667+IF(H510&lt;&gt;"",1,0)</f>
        <v>0</v>
      </c>
      <c r="Y668" s="112" t="n">
        <f aca="false">Y667+IF(H542&lt;&gt;"",1,0)</f>
        <v>0</v>
      </c>
      <c r="Z668" s="112" t="n">
        <f aca="false">Z667+IF($H574&lt;&gt;"",1,0)</f>
        <v>0</v>
      </c>
      <c r="AA668" s="300" t="n">
        <f aca="false">IF($BY668&lt;=U$615,MATCH($BY668,U$617:U$737,0))</f>
        <v>0</v>
      </c>
      <c r="AB668" s="112" t="n">
        <f aca="false">IF($BY668&lt;=V$615,MATCH($BY668,V$617:V$737,0))</f>
        <v>0</v>
      </c>
      <c r="AC668" s="112" t="n">
        <f aca="false">IF($BY668&lt;=W$615,MATCH($BY668,W$617:W$737,0))</f>
        <v>0</v>
      </c>
      <c r="AD668" s="112" t="n">
        <f aca="false">IF($BY668&lt;=X$615,MATCH($BY668,X$617:X$737,0))</f>
        <v>0</v>
      </c>
      <c r="AE668" s="112" t="n">
        <f aca="false">IF($BY668&lt;=Y$615,MATCH($BY668,Y$617:Y$737,0))</f>
        <v>0</v>
      </c>
      <c r="AF668" s="324" t="n">
        <f aca="false">IF($BY668&lt;=Z$615,MATCH($BY668,Z$617:Z$737,0))</f>
        <v>0</v>
      </c>
      <c r="AG668" s="325" t="str">
        <f aca="true">IF(AND(AA668&lt;="",AP61=""),OFFSET(Spells!H$2,AA668,0),"")</f>
        <v>Effect</v>
      </c>
      <c r="AH668" s="325" t="str">
        <f aca="true">IF(AND(AB668&lt;="",AP61=""),OFFSET(Spells!R$2,AB668,0),"")</f>
        <v>Effect</v>
      </c>
      <c r="AI668" s="325" t="str">
        <f aca="true">IF(AND(AC668&lt;="",AP61=""),OFFSET(Spells!AB$2,AC668,0),"")</f>
        <v>Effect</v>
      </c>
      <c r="AJ668" s="326" t="str">
        <f aca="true">IF(AND(AD668&lt;="",AP61=""),OFFSET(Spells!AL$2,AD668,0),"")</f>
        <v>Effect</v>
      </c>
      <c r="AK668" s="326" t="str">
        <f aca="true">IF(AND(AE668&lt;="",AP61=""),OFFSET(Spells!AV$2,AE668,0),"")</f>
        <v>Effect</v>
      </c>
      <c r="AL668" s="325" t="str">
        <f aca="true">IF(AND(AF668&lt;="",AP59=""),OFFSET(Spells!$H$2,AF668,0),"")</f>
        <v>Effect</v>
      </c>
      <c r="AM668" s="56"/>
      <c r="AN668" s="42"/>
      <c r="AO668" s="42"/>
      <c r="AP668" s="42"/>
      <c r="AQ668" s="340"/>
      <c r="AR668" s="327" t="str">
        <f aca="false">K103&amp;IF(Q103&lt;&gt;""," ("&amp;Q103&amp;")","")</f>
        <v>Dead Fall</v>
      </c>
      <c r="AS668" s="112" t="n">
        <f aca="false">O103</f>
        <v>0</v>
      </c>
      <c r="AT668" s="112" t="n">
        <f aca="true">OFFSET(CostSkill,AS668,0)-OFFSET(CostSkill,N103,0)</f>
        <v>0</v>
      </c>
      <c r="AU668" s="112" t="str">
        <f aca="false">P103</f>
        <v>W</v>
      </c>
      <c r="AV668" s="112" t="n">
        <f aca="false">AV667+IF(AND(AR668&lt;&gt;" ",AS668&gt;0),1,0)</f>
        <v>8</v>
      </c>
      <c r="AW668" s="324"/>
      <c r="AX668" s="327" t="str">
        <f aca="false">IF(Discipline2&lt;&gt;"",HLOOKUP(Discipline2,knackfordic,BY623)," ")</f>
        <v>Attribute Pattern</v>
      </c>
      <c r="AY668" s="329" t="n">
        <f aca="false">IF(AX668&lt;&gt;" ",IF(ISERROR(MATCH(AX668,AX$621:AX$639,0)),MATCH(AX668,Talents!G$4:G$210)))</f>
        <v>0</v>
      </c>
      <c r="AZ668" s="329" t="str">
        <f aca="true">IF(AY668,OFFSET(Talents!H$2,Build!AY668,0)," ")</f>
        <v> </v>
      </c>
      <c r="BA668" s="112" t="str">
        <f aca="true">IF(AY668,OFFSET(Talents!J$2,Build!AY668,0)," ")</f>
        <v> </v>
      </c>
      <c r="BB668" s="112" t="str">
        <f aca="true">IF(AY668,OFFSET(Talents!I$2,Build!AY668,0)," ")</f>
        <v> </v>
      </c>
      <c r="BC668" s="112" t="str">
        <f aca="true">IF(AY668,OFFSET(Talents!K$1,Build!AY668,0)," ")</f>
        <v> </v>
      </c>
      <c r="BD668" s="112" t="n">
        <f aca="true">IF(AY668=0,0,IF(ISERROR(MATCH(AZ668,D$616:D$656,0)),OFFSET(E$656,MATCH(AZ668,D$657:D$697,0),0),IF(OFFSET(E$615,MATCH(AZ668,D$616:D$656,0),0)&gt;OFFSET(E$656,MATCH(AZ668,D$657:D$697,0),0),OFFSET(E$615,MATCH(AZ668,D$616:D$656,0),0),OFFSET(E$656,MATCH(AZ668,D$657:D$697,0),0))))</f>
        <v>0</v>
      </c>
      <c r="BE668" s="112" t="n">
        <f aca="false">BE667+IF(ISERROR(BD668), 0, IF(BD668&gt;=BB668, 1, 0))</f>
        <v>21</v>
      </c>
      <c r="BF668" s="324" t="n">
        <f aca="false">IF($BY645&lt;=BF$615,MATCH(BY645,BE$617:BE$681,0))</f>
        <v>0</v>
      </c>
      <c r="BJ668" s="327" t="str">
        <f aca="false">IF(P231&lt;&gt;"",M231," ")</f>
        <v> </v>
      </c>
      <c r="BK668" s="112" t="n">
        <f aca="false">IF(P231="",0,Q231)</f>
        <v>0</v>
      </c>
      <c r="BL668" s="112" t="n">
        <f aca="false">BL667+IF(BJ668&lt;&gt;" ",BK668,0)</f>
        <v>8</v>
      </c>
      <c r="BM668" s="112" t="n">
        <f aca="false">R231</f>
        <v>2</v>
      </c>
      <c r="BN668" s="112" t="n">
        <f aca="false">BN667+IF(BJ668&lt;&gt;" ",BM668,0)</f>
        <v>2</v>
      </c>
      <c r="BO668" s="329" t="str">
        <f aca="false">BO669&amp;IF(BJ668&lt;&gt;" ",", "&amp;BJ668&amp;" ("&amp;BK668&amp;")","")</f>
        <v/>
      </c>
      <c r="BP668" s="327" t="n">
        <f aca="false">BP667+IF(BJ668&lt;&gt;" ",1,0)</f>
        <v>3</v>
      </c>
      <c r="BQ668" s="332"/>
      <c r="BY668" s="333" t="n">
        <f aca="false">BY667+1</f>
        <v>52</v>
      </c>
      <c r="BZ668" s="329" t="str">
        <f aca="false">T238</f>
        <v>Shoes, Merchant's</v>
      </c>
      <c r="CA668" s="112" t="n">
        <f aca="false">W238</f>
        <v>0</v>
      </c>
      <c r="CB668" s="112" t="n">
        <f aca="false">X238</f>
        <v>2</v>
      </c>
      <c r="CC668" s="112" t="s">
        <v>301</v>
      </c>
      <c r="CD668" s="329" t="n">
        <f aca="false">FIND(",",BZ668)</f>
        <v>6</v>
      </c>
      <c r="CE668" s="329" t="str">
        <f aca="false">IF(ISERROR(CD668),BZ668,MID(BZ668,CD668+2,20)&amp;" "&amp;LEFT(BZ668,CD668-1))&amp;IF(ISERROR(VALUE(CA668)),"",IF(CA668&gt;1," ("&amp;CA668&amp;")",""))</f>
        <v>Merchant's Shoes</v>
      </c>
      <c r="CF668" s="329" t="str">
        <f aca="false">IF(CC668=" "," ",IF(ISERROR(VALUE(CA668)),CC668,CA668*CC668))</f>
        <v> </v>
      </c>
      <c r="CG668" s="112" t="n">
        <f aca="false">CG667+IF(AND(BZ668&lt;&gt;0,CA668&lt;&gt;0),1,0)</f>
        <v>5</v>
      </c>
      <c r="CH668" s="112" t="n">
        <f aca="false">IF($BY668&lt;=CH$615,MATCH($BY668,CG$617:CG$863,0))</f>
        <v>0</v>
      </c>
    </row>
    <row r="669" s="32" customFormat="true" ht="12.75" hidden="false" customHeight="false" outlineLevel="0" collapsed="false">
      <c r="B669" s="279" t="n">
        <v>4</v>
      </c>
      <c r="C669" s="67" t="str">
        <f aca="false">IF(AND(Discipline2&lt;&gt;"",Circle2&gt;=$B669),HLOOKUP(Discipline2,talentfordisc,1+BY629,0)," ")</f>
        <v> </v>
      </c>
      <c r="D669" s="67" t="str">
        <f aca="false">IF(RIGHT(C669, 3)="(D)",LEFT(C669,LEN(C669)-4),C669)</f>
        <v> </v>
      </c>
      <c r="E669" s="64" t="n">
        <f aca="false">W29</f>
        <v>0</v>
      </c>
      <c r="F669" s="182" t="n">
        <f aca="true">OFFSET(Cost_5_8,E669,0)</f>
        <v>0</v>
      </c>
      <c r="G669" s="64" t="n">
        <f aca="false">IF(C669&lt;&gt;" ",MATCH(D669,Talents!B$3:B$345,1),0)</f>
        <v>0</v>
      </c>
      <c r="H669" s="64" t="str">
        <f aca="true">IF(G669=0," ",OFFSET(Talents!C$2,G669,0))</f>
        <v> </v>
      </c>
      <c r="I669" s="64" t="n">
        <f aca="false">IF(E669&gt;0,X29,0)</f>
        <v>0</v>
      </c>
      <c r="J669" s="64" t="str">
        <f aca="false">IF(H669&lt;&gt;" ",E669+VLOOKUP(H669,G$597:L$603,6,0)+I669," ")</f>
        <v> </v>
      </c>
      <c r="K669" s="64" t="str">
        <f aca="true">IF(J669&lt;&gt;" ",OFFSET(ActionDice,J669,0),"-")</f>
        <v>-</v>
      </c>
      <c r="L669" s="67" t="n">
        <f aca="false">OR(RIGHT(C669, 3)="(D)", NOT(ISERROR(MATCH(D669&amp;" (D)", C$657:C$697, 0))))</f>
        <v>0</v>
      </c>
      <c r="M669" s="64" t="str">
        <f aca="true">IF(G669&gt;0,IF(L669,"D",OFFSET(Talents!D$2,G669,0))&amp;OFFSET(Talents!E$2,G669,0)," ")</f>
        <v> </v>
      </c>
      <c r="N669" s="64" t="n">
        <f aca="false">AND(Z29="",C669&lt;&gt;" ")</f>
        <v>0</v>
      </c>
      <c r="O669" s="300" t="n">
        <f aca="false">O668+IF(N668,1,0)</f>
        <v>18</v>
      </c>
      <c r="P669" s="324" t="n">
        <f aca="false">IF(Build!$BY669&lt;=Build!P$615,MATCH(Build!$BY669,Build!O$617:O$714,0))</f>
        <v>0</v>
      </c>
      <c r="S669" s="112" t="n">
        <f aca="false">S668+IF(E167&lt;&gt;"",1,0)</f>
        <v>3</v>
      </c>
      <c r="T669" s="112"/>
      <c r="U669" s="300" t="n">
        <f aca="false">U668+IF(H415&lt;&gt;"",1,0)</f>
        <v>0</v>
      </c>
      <c r="V669" s="112" t="n">
        <f aca="false">V668+IF(H447&lt;&gt;"",1,0)</f>
        <v>0</v>
      </c>
      <c r="W669" s="112" t="n">
        <f aca="false">W668+IF(H479&lt;&gt;"",1,0)</f>
        <v>0</v>
      </c>
      <c r="X669" s="112" t="n">
        <f aca="false">X668+IF(H511&lt;&gt;"",1,0)</f>
        <v>0</v>
      </c>
      <c r="Y669" s="112" t="n">
        <f aca="false">Y668+IF(H543&lt;&gt;"",1,0)</f>
        <v>0</v>
      </c>
      <c r="Z669" s="112" t="n">
        <f aca="false">Z668+IF($H575&lt;&gt;"",1,0)</f>
        <v>0</v>
      </c>
      <c r="AA669" s="300" t="n">
        <f aca="false">IF($BY669&lt;=U$615,MATCH($BY669,U$617:U$737,0))</f>
        <v>0</v>
      </c>
      <c r="AB669" s="112" t="n">
        <f aca="false">IF($BY669&lt;=V$615,MATCH($BY669,V$617:V$737,0))</f>
        <v>0</v>
      </c>
      <c r="AC669" s="112" t="n">
        <f aca="false">IF($BY669&lt;=W$615,MATCH($BY669,W$617:W$737,0))</f>
        <v>0</v>
      </c>
      <c r="AD669" s="112" t="n">
        <f aca="false">IF($BY669&lt;=X$615,MATCH($BY669,X$617:X$737,0))</f>
        <v>0</v>
      </c>
      <c r="AE669" s="112" t="n">
        <f aca="false">IF($BY669&lt;=Y$615,MATCH($BY669,Y$617:Y$737,0))</f>
        <v>0</v>
      </c>
      <c r="AF669" s="324" t="n">
        <f aca="false">IF($BY669&lt;=Z$615,MATCH($BY669,Z$617:Z$737,0))</f>
        <v>0</v>
      </c>
      <c r="AG669" s="325" t="str">
        <f aca="true">IF(AND(AA669&lt;="",AP62=""),OFFSET(Spells!H$2,AA669,0),"")</f>
        <v>Effect</v>
      </c>
      <c r="AH669" s="325" t="str">
        <f aca="true">IF(AND(AB669&lt;="",AP62=""),OFFSET(Spells!R$2,AB669,0),"")</f>
        <v>Effect</v>
      </c>
      <c r="AI669" s="325" t="str">
        <f aca="true">IF(AND(AC669&lt;="",AP62=""),OFFSET(Spells!AB$2,AC669,0),"")</f>
        <v>Effect</v>
      </c>
      <c r="AJ669" s="326" t="str">
        <f aca="true">IF(AND(AD669&lt;="",AP62=""),OFFSET(Spells!AL$2,AD669,0),"")</f>
        <v>Effect</v>
      </c>
      <c r="AK669" s="326" t="str">
        <f aca="true">IF(AND(AE669&lt;="",AP62=""),OFFSET(Spells!AV$2,AE669,0),"")</f>
        <v>Effect</v>
      </c>
      <c r="AL669" s="325" t="str">
        <f aca="true">IF(AND(AF669&lt;="",AP60=""),OFFSET(Spells!$H$2,AF669,0),"")</f>
        <v>Effect</v>
      </c>
      <c r="AM669" s="56"/>
      <c r="AN669" s="42"/>
      <c r="AO669" s="42"/>
      <c r="AP669" s="42"/>
      <c r="AQ669" s="340"/>
      <c r="AR669" s="327" t="str">
        <f aca="false">K104&amp;IF(Q104&lt;&gt;""," ("&amp;Q104&amp;")","")</f>
        <v>Detect Trap</v>
      </c>
      <c r="AS669" s="112" t="n">
        <f aca="false">O104</f>
        <v>0</v>
      </c>
      <c r="AT669" s="112" t="n">
        <f aca="true">OFFSET(CostSkill,AS669,0)-OFFSET(CostSkill,N104,0)</f>
        <v>0</v>
      </c>
      <c r="AU669" s="112" t="str">
        <f aca="false">P104</f>
        <v>P</v>
      </c>
      <c r="AV669" s="112" t="n">
        <f aca="false">AV668+IF(AND(AR669&lt;&gt;" ",AS669&gt;0),1,0)</f>
        <v>8</v>
      </c>
      <c r="AW669" s="324"/>
      <c r="AX669" s="327" t="str">
        <f aca="false">IF(Discipline2&lt;&gt;"",HLOOKUP(Discipline2,knackfordic,BY624)," ")</f>
        <v>Backbiter</v>
      </c>
      <c r="AY669" s="329" t="n">
        <f aca="false">IF(AX669&lt;&gt;" ",IF(ISERROR(MATCH(AX669,AX$621:AX$639,0)),MATCH(AX669,Talents!G$4:G$210)))</f>
        <v>19</v>
      </c>
      <c r="AZ669" s="329" t="str">
        <f aca="true">IF(AY669,OFFSET(Talents!H$2,Build!AY669,0)," ")</f>
        <v>Buzz</v>
      </c>
      <c r="BA669" s="112" t="n">
        <f aca="true">IF(AY669,OFFSET(Talents!J$2,Build!AY669,0)," ")</f>
        <v>2</v>
      </c>
      <c r="BB669" s="112" t="n">
        <f aca="true">IF(AY669,OFFSET(Talents!I$2,Build!AY669,0)," ")</f>
        <v>5</v>
      </c>
      <c r="BC669" s="112" t="n">
        <f aca="true">IF(AY669,OFFSET(Talents!K$1,Build!AY669,0)," ")</f>
        <v>98700</v>
      </c>
      <c r="BD669" s="112" t="e">
        <f aca="true">IF(AY669=0,0,IF(ISERROR(MATCH(AZ669,D$616:D$656,0)),OFFSET(E$656,MATCH(AZ669,D$657:D$697,0),0),IF(OFFSET(E$615,MATCH(AZ669,D$616:D$656,0),0)&gt;OFFSET(E$656,MATCH(AZ669,D$657:D$697,0),0),OFFSET(E$615,MATCH(AZ669,D$616:D$656,0),0),OFFSET(E$656,MATCH(AZ669,D$657:D$697,0),0))))</f>
        <v>#N/A</v>
      </c>
      <c r="BE669" s="112" t="n">
        <f aca="false">BE668+IF(ISERROR(BD669), 0, IF(BD669&gt;=BB669, 1, 0))</f>
        <v>21</v>
      </c>
      <c r="BF669" s="324" t="n">
        <f aca="false">IF($BY646&lt;=BF$615,MATCH(BY646,BE$617:BE$681,0))</f>
        <v>0</v>
      </c>
      <c r="BJ669" s="327" t="str">
        <f aca="false">IF(P232&lt;&gt;"",M232," ")</f>
        <v> </v>
      </c>
      <c r="BK669" s="112" t="n">
        <f aca="false">IF(P232="",0,Q232)</f>
        <v>0</v>
      </c>
      <c r="BL669" s="112" t="n">
        <f aca="false">BL668+IF(BJ669&lt;&gt;" ",BK669,0)</f>
        <v>8</v>
      </c>
      <c r="BM669" s="112" t="n">
        <f aca="false">R232</f>
        <v>1</v>
      </c>
      <c r="BN669" s="112" t="n">
        <f aca="false">BN668+IF(BJ669&lt;&gt;" ",BM669,0)</f>
        <v>2</v>
      </c>
      <c r="BO669" s="329" t="str">
        <f aca="false">BO670&amp;IF(BJ669&lt;&gt;" ",", "&amp;BJ669&amp;" ("&amp;BK669&amp;")","")</f>
        <v/>
      </c>
      <c r="BP669" s="335" t="n">
        <f aca="false">BP668+IF(BJ669&lt;&gt;" ",1,0)</f>
        <v>3</v>
      </c>
      <c r="BQ669" s="291"/>
      <c r="BY669" s="333" t="n">
        <f aca="false">BY668+1</f>
        <v>53</v>
      </c>
      <c r="BZ669" s="329" t="str">
        <f aca="false">T239</f>
        <v>Shoes, Courtier's</v>
      </c>
      <c r="CA669" s="112" t="n">
        <f aca="false">W239</f>
        <v>0</v>
      </c>
      <c r="CB669" s="112" t="n">
        <f aca="false">X239</f>
        <v>40</v>
      </c>
      <c r="CC669" s="112" t="s">
        <v>301</v>
      </c>
      <c r="CD669" s="329" t="n">
        <f aca="false">FIND(",",BZ669)</f>
        <v>6</v>
      </c>
      <c r="CE669" s="329" t="str">
        <f aca="false">IF(ISERROR(CD669),BZ669,MID(BZ669,CD669+2,20)&amp;" "&amp;LEFT(BZ669,CD669-1))&amp;IF(ISERROR(VALUE(CA669)),"",IF(CA669&gt;1," ("&amp;CA669&amp;")",""))</f>
        <v>Courtier's Shoes</v>
      </c>
      <c r="CF669" s="329" t="str">
        <f aca="false">IF(CC669=" "," ",IF(ISERROR(VALUE(CA669)),CC669,CA669*CC669))</f>
        <v> </v>
      </c>
      <c r="CG669" s="112" t="n">
        <f aca="false">CG668+IF(AND(BZ669&lt;&gt;0,CA669&lt;&gt;0),1,0)</f>
        <v>5</v>
      </c>
      <c r="CH669" s="112" t="n">
        <f aca="false">IF($BY669&lt;=CH$615,MATCH($BY669,CG$617:CG$863,0))</f>
        <v>0</v>
      </c>
    </row>
    <row r="670" s="32" customFormat="true" ht="12.75" hidden="false" customHeight="false" outlineLevel="0" collapsed="false">
      <c r="B670" s="279" t="n">
        <v>4</v>
      </c>
      <c r="C670" s="67" t="n">
        <f aca="false">AR30</f>
        <v>0</v>
      </c>
      <c r="D670" s="67" t="n">
        <f aca="false">IF(RIGHT(C670, 3)="(D)",LEFT(C670,LEN(C670)-4),C670)</f>
        <v>0</v>
      </c>
      <c r="E670" s="64" t="n">
        <f aca="false">W30</f>
        <v>0</v>
      </c>
      <c r="F670" s="182" t="n">
        <f aca="true">OFFSET(Cost_5_8,E670,0)</f>
        <v>0</v>
      </c>
      <c r="G670" s="64" t="e">
        <f aca="false">IF(C670&lt;&gt;" ",MATCH(D670,Talents!B$3:B$345,1),0)</f>
        <v>#N/A</v>
      </c>
      <c r="H670" s="64" t="e">
        <f aca="true">IF(G670=0," ",OFFSET(Talents!C$2,G670,0))</f>
        <v>#N/A</v>
      </c>
      <c r="I670" s="64" t="n">
        <f aca="false">IF(E670&gt;0,X30,0)</f>
        <v>0</v>
      </c>
      <c r="J670" s="64" t="e">
        <f aca="false">IF(H670&lt;&gt;" ",E670+VLOOKUP(H670,G$597:L$603,6,0)+I670," ")</f>
        <v>#N/A</v>
      </c>
      <c r="K670" s="64" t="e">
        <f aca="true">IF(J670&lt;&gt;" ",OFFSET(ActionDice,J670,0),"-")</f>
        <v>#N/A</v>
      </c>
      <c r="L670" s="67" t="n">
        <f aca="false">OR(RIGHT(C670, 3)="(D)", NOT(ISERROR(MATCH(D670&amp;" (D)", C$657:C$697, 0))))</f>
        <v>0</v>
      </c>
      <c r="M670" s="64" t="e">
        <f aca="true">IF(G670&gt;0,IF(L670,"D",OFFSET(Talents!D$2,G670,0))&amp;OFFSET(Talents!E$2,G670,0)," ")</f>
        <v>#N/A</v>
      </c>
      <c r="N670" s="64" t="n">
        <f aca="false">AND(Z30="",C670&lt;&gt;" ")</f>
        <v>0</v>
      </c>
      <c r="O670" s="300" t="n">
        <f aca="false">O669+IF(N669,1,0)</f>
        <v>18</v>
      </c>
      <c r="P670" s="324" t="n">
        <f aca="false">IF(Build!$BY670&lt;=Build!P$615,MATCH(Build!$BY670,Build!O$617:O$714,0))</f>
        <v>0</v>
      </c>
      <c r="S670" s="112" t="n">
        <f aca="false">S669+IF(E168&lt;&gt;"",1,0)</f>
        <v>3</v>
      </c>
      <c r="T670" s="112"/>
      <c r="U670" s="300" t="n">
        <f aca="false">U669+IF(H416&lt;&gt;"",1,0)</f>
        <v>0</v>
      </c>
      <c r="V670" s="112" t="n">
        <f aca="false">V669+IF(H448&lt;&gt;"",1,0)</f>
        <v>0</v>
      </c>
      <c r="W670" s="112" t="n">
        <f aca="false">W669+IF(H480&lt;&gt;"",1,0)</f>
        <v>0</v>
      </c>
      <c r="X670" s="112" t="n">
        <f aca="false">X669+IF(H512&lt;&gt;"",1,0)</f>
        <v>0</v>
      </c>
      <c r="Y670" s="112" t="n">
        <f aca="false">Y669+IF(H544&lt;&gt;"",1,0)</f>
        <v>0</v>
      </c>
      <c r="Z670" s="112" t="n">
        <f aca="false">Z669+IF($H576&lt;&gt;"",1,0)</f>
        <v>0</v>
      </c>
      <c r="AA670" s="300" t="n">
        <f aca="false">IF($BY670&lt;=U$615,MATCH($BY670,U$617:U$737,0))</f>
        <v>0</v>
      </c>
      <c r="AB670" s="112" t="n">
        <f aca="false">IF($BY670&lt;=V$615,MATCH($BY670,V$617:V$737,0))</f>
        <v>0</v>
      </c>
      <c r="AC670" s="112" t="n">
        <f aca="false">IF($BY670&lt;=W$615,MATCH($BY670,W$617:W$737,0))</f>
        <v>0</v>
      </c>
      <c r="AD670" s="112" t="n">
        <f aca="false">IF($BY670&lt;=X$615,MATCH($BY670,X$617:X$737,0))</f>
        <v>0</v>
      </c>
      <c r="AE670" s="112" t="n">
        <f aca="false">IF($BY670&lt;=Y$615,MATCH($BY670,Y$617:Y$737,0))</f>
        <v>0</v>
      </c>
      <c r="AF670" s="324" t="n">
        <f aca="false">IF($BY670&lt;=Z$615,MATCH($BY670,Z$617:Z$737,0))</f>
        <v>0</v>
      </c>
      <c r="AG670" s="325" t="str">
        <f aca="true">IF(AND(AA670&lt;="",AP63=""),OFFSET(Spells!H$2,AA670,0),"")</f>
        <v>Effect</v>
      </c>
      <c r="AH670" s="325" t="str">
        <f aca="true">IF(AND(AB670&lt;="",AP63=""),OFFSET(Spells!R$2,AB670,0),"")</f>
        <v>Effect</v>
      </c>
      <c r="AI670" s="325" t="str">
        <f aca="true">IF(AND(AC670&lt;="",AP63=""),OFFSET(Spells!AB$2,AC670,0),"")</f>
        <v>Effect</v>
      </c>
      <c r="AJ670" s="326" t="str">
        <f aca="true">IF(AND(AD670&lt;="",AP63=""),OFFSET(Spells!AL$2,AD670,0),"")</f>
        <v>Effect</v>
      </c>
      <c r="AK670" s="326" t="str">
        <f aca="true">IF(AND(AE670&lt;="",AP63=""),OFFSET(Spells!AV$2,AE670,0),"")</f>
        <v>Effect</v>
      </c>
      <c r="AL670" s="325" t="str">
        <f aca="true">IF(AND(AF670&lt;="",AP61=""),OFFSET(Spells!$H$2,AF670,0),"")</f>
        <v>Effect</v>
      </c>
      <c r="AM670" s="56"/>
      <c r="AN670" s="42"/>
      <c r="AO670" s="42"/>
      <c r="AP670" s="42"/>
      <c r="AQ670" s="340"/>
      <c r="AR670" s="327" t="str">
        <f aca="false">K105&amp;IF(Q105&lt;&gt;""," ("&amp;Q105&amp;")","")</f>
        <v>Detect Weapon</v>
      </c>
      <c r="AS670" s="112" t="n">
        <f aca="false">O105</f>
        <v>0</v>
      </c>
      <c r="AT670" s="112" t="n">
        <f aca="true">OFFSET(CostSkill,AS670,0)-OFFSET(CostSkill,N105,0)</f>
        <v>0</v>
      </c>
      <c r="AU670" s="112" t="str">
        <f aca="false">P105</f>
        <v>P</v>
      </c>
      <c r="AV670" s="112" t="n">
        <f aca="false">AV669+IF(AND(AR670&lt;&gt;" ",AS670&gt;0),1,0)</f>
        <v>8</v>
      </c>
      <c r="AW670" s="324"/>
      <c r="AX670" s="327" t="str">
        <f aca="false">IF(Discipline2&lt;&gt;"",HLOOKUP(Discipline2,knackfordic,BY625)," ")</f>
        <v>Bless Ally</v>
      </c>
      <c r="AY670" s="329" t="n">
        <f aca="false">IF(AX670&lt;&gt;" ",IF(ISERROR(MATCH(AX670,AX$621:AX$639,0)),MATCH(AX670,Talents!G$4:G$210)))</f>
        <v>23</v>
      </c>
      <c r="AZ670" s="329" t="str">
        <f aca="true">IF(AY670,OFFSET(Talents!H$2,Build!AY670,0)," ")</f>
        <v>Summon</v>
      </c>
      <c r="BA670" s="112" t="n">
        <f aca="true">IF(AY670,OFFSET(Talents!J$2,Build!AY670,0)," ")</f>
        <v>2</v>
      </c>
      <c r="BB670" s="112" t="n">
        <f aca="true">IF(AY670,OFFSET(Talents!I$2,Build!AY670,0)," ")</f>
        <v>4</v>
      </c>
      <c r="BC670" s="112" t="n">
        <f aca="true">IF(AY670,OFFSET(Talents!K$1,Build!AY670,0)," ")</f>
        <v>2100</v>
      </c>
      <c r="BD670" s="112" t="e">
        <f aca="true">IF(AY670=0,0,IF(ISERROR(MATCH(AZ670,D$616:D$656,0)),OFFSET(E$656,MATCH(AZ670,D$657:D$697,0),0),IF(OFFSET(E$615,MATCH(AZ670,D$616:D$656,0),0)&gt;OFFSET(E$656,MATCH(AZ670,D$657:D$697,0),0),OFFSET(E$615,MATCH(AZ670,D$616:D$656,0),0),OFFSET(E$656,MATCH(AZ670,D$657:D$697,0),0))))</f>
        <v>#N/A</v>
      </c>
      <c r="BE670" s="112" t="n">
        <f aca="false">BE669+IF(ISERROR(BD670), 0, IF(BD670&gt;=BB670, 1, 0))</f>
        <v>21</v>
      </c>
      <c r="BF670" s="324" t="n">
        <f aca="false">IF($BY647&lt;=BF$615,MATCH(BY647,BE$617:BE$681,0))</f>
        <v>0</v>
      </c>
      <c r="BP670" s="341" t="n">
        <f aca="false">BP669+10</f>
        <v>13</v>
      </c>
      <c r="BY670" s="333" t="n">
        <f aca="false">BY669+1</f>
        <v>54</v>
      </c>
      <c r="BZ670" s="329" t="str">
        <f aca="false">T240</f>
        <v>Scarf</v>
      </c>
      <c r="CA670" s="112" t="n">
        <f aca="false">W240</f>
        <v>0</v>
      </c>
      <c r="CB670" s="112" t="n">
        <f aca="false">X240</f>
        <v>5</v>
      </c>
      <c r="CC670" s="112" t="s">
        <v>301</v>
      </c>
      <c r="CD670" s="329" t="e">
        <f aca="false">FIND(",",BZ670)</f>
        <v>#VALUE!</v>
      </c>
      <c r="CE670" s="329" t="str">
        <f aca="false">IF(ISERROR(CD670),BZ670,MID(BZ670,CD670+2,20)&amp;" "&amp;LEFT(BZ670,CD670-1))&amp;IF(ISERROR(VALUE(CA670)),"",IF(CA670&gt;1," ("&amp;CA670&amp;")",""))</f>
        <v>Scarf</v>
      </c>
      <c r="CF670" s="329" t="str">
        <f aca="false">IF(CC670=" "," ",IF(ISERROR(VALUE(CA670)),CC670,CA670*CC670))</f>
        <v> </v>
      </c>
      <c r="CG670" s="112" t="n">
        <f aca="false">CG669+IF(AND(BZ670&lt;&gt;0,CA670&lt;&gt;0),1,0)</f>
        <v>5</v>
      </c>
      <c r="CH670" s="112" t="n">
        <f aca="false">IF($BY670&lt;=CH$615,MATCH($BY670,CG$617:CG$863,0))</f>
        <v>0</v>
      </c>
    </row>
    <row r="671" s="32" customFormat="true" ht="12.75" hidden="false" customHeight="false" outlineLevel="0" collapsed="false">
      <c r="B671" s="279" t="n">
        <v>5</v>
      </c>
      <c r="C671" s="67" t="str">
        <f aca="false">IF(AND(Discipline2&lt;&gt;"",Circle2&gt;=$B671),HLOOKUP(Discipline2,talentfordisc,1+BY631,0)," ")</f>
        <v> </v>
      </c>
      <c r="D671" s="67" t="str">
        <f aca="false">IF(RIGHT(C671, 3)="(D)",LEFT(C671,LEN(C671)-4),C671)</f>
        <v> </v>
      </c>
      <c r="E671" s="64" t="n">
        <f aca="false">W31</f>
        <v>0</v>
      </c>
      <c r="F671" s="182" t="n">
        <f aca="true">OFFSET(Cost_9_12,E671,0)</f>
        <v>0</v>
      </c>
      <c r="G671" s="64" t="n">
        <f aca="false">IF(C671&lt;&gt;" ",MATCH(D671,Talents!B$3:B$345,1),0)</f>
        <v>0</v>
      </c>
      <c r="H671" s="64" t="str">
        <f aca="true">IF(G671=0," ",OFFSET(Talents!C$2,G671,0))</f>
        <v> </v>
      </c>
      <c r="I671" s="64" t="n">
        <f aca="false">IF(E671&gt;0,X31,0)</f>
        <v>0</v>
      </c>
      <c r="J671" s="64" t="str">
        <f aca="false">IF(H671&lt;&gt;" ",E671+VLOOKUP(H671,G$597:L$603,6,0)+I671," ")</f>
        <v> </v>
      </c>
      <c r="K671" s="64" t="str">
        <f aca="true">IF(J671&lt;&gt;" ",OFFSET(ActionDice,J671,0),"-")</f>
        <v>-</v>
      </c>
      <c r="L671" s="67" t="n">
        <f aca="false">OR(RIGHT(C671, 3)="(D)", NOT(ISERROR(MATCH(D671&amp;" (D)", C$657:C$697, 0))))</f>
        <v>0</v>
      </c>
      <c r="M671" s="64" t="str">
        <f aca="true">IF(G671&gt;0,IF(L671,"D",OFFSET(Talents!D$2,G671,0))&amp;OFFSET(Talents!E$2,G671,0)," ")</f>
        <v> </v>
      </c>
      <c r="N671" s="64" t="n">
        <f aca="false">AND(Z31="",C671&lt;&gt;" ")</f>
        <v>0</v>
      </c>
      <c r="O671" s="300" t="n">
        <f aca="false">O670+IF(N670,1,0)</f>
        <v>18</v>
      </c>
      <c r="P671" s="324" t="n">
        <f aca="false">IF(Build!$BY671&lt;=Build!P$615,MATCH(Build!$BY671,Build!O$617:O$714,0))</f>
        <v>0</v>
      </c>
      <c r="S671" s="112" t="n">
        <f aca="false">S670+IF(E169&lt;&gt;"",1,0)</f>
        <v>3</v>
      </c>
      <c r="T671" s="112"/>
      <c r="U671" s="300" t="n">
        <f aca="false">U670+IF(H417&lt;&gt;"",1,0)</f>
        <v>0</v>
      </c>
      <c r="V671" s="112" t="n">
        <f aca="false">V670+IF(H449&lt;&gt;"",1,0)</f>
        <v>0</v>
      </c>
      <c r="W671" s="112" t="n">
        <f aca="false">W670+IF(H481&lt;&gt;"",1,0)</f>
        <v>0</v>
      </c>
      <c r="X671" s="112" t="n">
        <f aca="false">X670+IF(H513&lt;&gt;"",1,0)</f>
        <v>0</v>
      </c>
      <c r="Y671" s="112" t="n">
        <f aca="false">Y670+IF(H545&lt;&gt;"",1,0)</f>
        <v>0</v>
      </c>
      <c r="Z671" s="112" t="n">
        <f aca="false">Z670+IF($H577&lt;&gt;"",1,0)</f>
        <v>0</v>
      </c>
      <c r="AA671" s="300" t="n">
        <f aca="false">IF($BY671&lt;=U$615,MATCH($BY671,U$617:U$737,0))</f>
        <v>0</v>
      </c>
      <c r="AB671" s="112" t="n">
        <f aca="false">IF($BY671&lt;=V$615,MATCH($BY671,V$617:V$737,0))</f>
        <v>0</v>
      </c>
      <c r="AC671" s="112" t="n">
        <f aca="false">IF($BY671&lt;=W$615,MATCH($BY671,W$617:W$737,0))</f>
        <v>0</v>
      </c>
      <c r="AD671" s="112" t="n">
        <f aca="false">IF($BY671&lt;=X$615,MATCH($BY671,X$617:X$737,0))</f>
        <v>0</v>
      </c>
      <c r="AE671" s="112" t="n">
        <f aca="false">IF($BY671&lt;=Y$615,MATCH($BY671,Y$617:Y$737,0))</f>
        <v>0</v>
      </c>
      <c r="AF671" s="324" t="n">
        <f aca="false">IF($BY671&lt;=Z$615,MATCH($BY671,Z$617:Z$737,0))</f>
        <v>0</v>
      </c>
      <c r="AG671" s="325" t="str">
        <f aca="true">IF(AND(AA671&lt;="",AP64=""),OFFSET(Spells!H$2,AA671,0),"")</f>
        <v>Effect</v>
      </c>
      <c r="AH671" s="325" t="str">
        <f aca="true">IF(AND(AB671&lt;="",AP64=""),OFFSET(Spells!R$2,AB671,0),"")</f>
        <v>Effect</v>
      </c>
      <c r="AI671" s="325" t="str">
        <f aca="true">IF(AND(AC671&lt;="",AP64=""),OFFSET(Spells!AB$2,AC671,0),"")</f>
        <v>Effect</v>
      </c>
      <c r="AJ671" s="326" t="str">
        <f aca="true">IF(AND(AD671&lt;="",AP64=""),OFFSET(Spells!AL$2,AD671,0),"")</f>
        <v>Effect</v>
      </c>
      <c r="AK671" s="326" t="str">
        <f aca="true">IF(AND(AE671&lt;="",AP64=""),OFFSET(Spells!AV$2,AE671,0),"")</f>
        <v>Effect</v>
      </c>
      <c r="AL671" s="325" t="str">
        <f aca="true">IF(AND(AF671&lt;="",AP62=""),OFFSET(Spells!$H$2,AF671,0),"")</f>
        <v>Effect</v>
      </c>
      <c r="AM671" s="56"/>
      <c r="AN671" s="42"/>
      <c r="AO671" s="42"/>
      <c r="AP671" s="42"/>
      <c r="AQ671" s="340"/>
      <c r="AR671" s="327" t="str">
        <f aca="false">K106&amp;IF(Q106&lt;&gt;""," ("&amp;Q106&amp;")","")</f>
        <v>Diplomacy</v>
      </c>
      <c r="AS671" s="112" t="n">
        <f aca="false">O106</f>
        <v>0</v>
      </c>
      <c r="AT671" s="112" t="n">
        <f aca="true">OFFSET(CostSkill,AS671,0)-OFFSET(CostSkill,N106,0)</f>
        <v>0</v>
      </c>
      <c r="AU671" s="112" t="str">
        <f aca="false">P106</f>
        <v>C</v>
      </c>
      <c r="AV671" s="112" t="n">
        <f aca="false">AV670+IF(AND(AR671&lt;&gt;" ",AS671&gt;0),1,0)</f>
        <v>8</v>
      </c>
      <c r="AW671" s="324"/>
      <c r="AX671" s="327" t="str">
        <f aca="false">IF(Discipline2&lt;&gt;"",HLOOKUP(Discipline2,knackfordic,BY626)," ")</f>
        <v>Bounce</v>
      </c>
      <c r="AY671" s="329" t="n">
        <f aca="false">IF(AX671&lt;&gt;" ",IF(ISERROR(MATCH(AX671,AX$621:AX$639,0)),MATCH(AX671,Talents!G$4:G$210)))</f>
        <v>29</v>
      </c>
      <c r="AZ671" s="329" t="str">
        <f aca="true">IF(AY671,OFFSET(Talents!H$2,Build!AY671,0)," ")</f>
        <v>Body Control</v>
      </c>
      <c r="BA671" s="112" t="str">
        <f aca="true">IF(AY671,OFFSET(Talents!J$2,Build!AY671,0)," ")</f>
        <v>1*</v>
      </c>
      <c r="BB671" s="112" t="n">
        <f aca="true">IF(AY671,OFFSET(Talents!I$2,Build!AY671,0)," ")</f>
        <v>7</v>
      </c>
      <c r="BC671" s="112" t="n">
        <f aca="true">IF(AY671,OFFSET(Talents!K$1,Build!AY671,0)," ")</f>
        <v>3400</v>
      </c>
      <c r="BD671" s="112" t="e">
        <f aca="true">IF(AY671=0,0,IF(ISERROR(MATCH(AZ671,D$616:D$656,0)),OFFSET(E$656,MATCH(AZ671,D$657:D$697,0),0),IF(OFFSET(E$615,MATCH(AZ671,D$616:D$656,0),0)&gt;OFFSET(E$656,MATCH(AZ671,D$657:D$697,0),0),OFFSET(E$615,MATCH(AZ671,D$616:D$656,0),0),OFFSET(E$656,MATCH(AZ671,D$657:D$697,0),0))))</f>
        <v>#N/A</v>
      </c>
      <c r="BE671" s="112" t="n">
        <f aca="false">BE670+IF(ISERROR(BD671), 0, IF(BD671&gt;=BB671, 1, 0))</f>
        <v>21</v>
      </c>
      <c r="BF671" s="324" t="n">
        <f aca="false">IF($BY648&lt;=BF$615,MATCH(BY648,BE$617:BE$681,0))</f>
        <v>0</v>
      </c>
      <c r="BY671" s="333" t="n">
        <f aca="false">BY670+1</f>
        <v>55</v>
      </c>
      <c r="BZ671" s="329" t="str">
        <f aca="false">T241</f>
        <v>Scabbard</v>
      </c>
      <c r="CA671" s="112" t="str">
        <f aca="false">W241</f>
        <v>X</v>
      </c>
      <c r="CB671" s="112" t="n">
        <f aca="false">X241</f>
        <v>5</v>
      </c>
      <c r="CC671" s="112" t="s">
        <v>301</v>
      </c>
      <c r="CD671" s="329" t="e">
        <f aca="false">FIND(",",BZ671)</f>
        <v>#VALUE!</v>
      </c>
      <c r="CE671" s="329" t="str">
        <f aca="false">IF(ISERROR(CD671),BZ671,MID(BZ671,CD671+2,20)&amp;" "&amp;LEFT(BZ671,CD671-1))&amp;IF(ISERROR(VALUE(CA671)),"",IF(CA671&gt;1," ("&amp;CA671&amp;")",""))</f>
        <v>Scabbard</v>
      </c>
      <c r="CF671" s="329" t="str">
        <f aca="false">IF(CC671=" "," ",IF(ISERROR(VALUE(CA671)),CC671,CA671*CC671))</f>
        <v> </v>
      </c>
      <c r="CG671" s="112" t="n">
        <f aca="false">CG670+IF(AND(BZ671&lt;&gt;0,CA671&lt;&gt;0),1,0)</f>
        <v>6</v>
      </c>
      <c r="CH671" s="112" t="n">
        <f aca="false">IF($BY671&lt;=CH$615,MATCH($BY671,CG$617:CG$863,0))</f>
        <v>0</v>
      </c>
    </row>
    <row r="672" s="32" customFormat="true" ht="12.75" hidden="false" customHeight="false" outlineLevel="0" collapsed="false">
      <c r="B672" s="279" t="n">
        <v>5</v>
      </c>
      <c r="C672" s="67" t="n">
        <f aca="false">AR32</f>
        <v>0</v>
      </c>
      <c r="D672" s="67" t="n">
        <f aca="false">IF(RIGHT(C672, 3)="(D)",LEFT(C672,LEN(C672)-4),C672)</f>
        <v>0</v>
      </c>
      <c r="E672" s="64" t="n">
        <f aca="false">W32</f>
        <v>0</v>
      </c>
      <c r="F672" s="182" t="n">
        <f aca="true">OFFSET(Cost_9_12,E672,0)</f>
        <v>0</v>
      </c>
      <c r="G672" s="64" t="e">
        <f aca="false">IF(C672&lt;&gt;" ",MATCH(D672,Talents!B$3:B$345,1),0)</f>
        <v>#N/A</v>
      </c>
      <c r="H672" s="64" t="e">
        <f aca="true">IF(G672=0," ",OFFSET(Talents!C$2,G672,0))</f>
        <v>#N/A</v>
      </c>
      <c r="I672" s="64" t="n">
        <f aca="false">IF(E672&gt;0,X32,0)</f>
        <v>0</v>
      </c>
      <c r="J672" s="64" t="e">
        <f aca="false">IF(H672&lt;&gt;" ",E672+VLOOKUP(H672,G$597:L$603,6,0)+I672," ")</f>
        <v>#N/A</v>
      </c>
      <c r="K672" s="64" t="e">
        <f aca="true">IF(J672&lt;&gt;" ",OFFSET(ActionDice,J672,0),"-")</f>
        <v>#N/A</v>
      </c>
      <c r="L672" s="67" t="n">
        <f aca="false">OR(RIGHT(C672, 3)="(D)", NOT(ISERROR(MATCH(D672&amp;" (D)", C$657:C$697, 0))))</f>
        <v>0</v>
      </c>
      <c r="M672" s="64" t="e">
        <f aca="true">IF(G672&gt;0,IF(L672,"D",OFFSET(Talents!D$2,G672,0))&amp;OFFSET(Talents!E$2,G672,0)," ")</f>
        <v>#N/A</v>
      </c>
      <c r="N672" s="64" t="n">
        <f aca="false">AND(Z32="",C672&lt;&gt;" ")</f>
        <v>0</v>
      </c>
      <c r="O672" s="300" t="n">
        <f aca="false">O671+IF(N671,1,0)</f>
        <v>18</v>
      </c>
      <c r="P672" s="324" t="n">
        <f aca="false">IF(Build!$BY672&lt;=Build!P$615,MATCH(Build!$BY672,Build!O$617:O$714,0))</f>
        <v>0</v>
      </c>
      <c r="S672" s="112" t="n">
        <f aca="false">S671+IF(E170&lt;&gt;"",1,0)</f>
        <v>3</v>
      </c>
      <c r="T672" s="112"/>
      <c r="U672" s="300" t="n">
        <f aca="false">U671+IF(H418&lt;&gt;"",1,0)</f>
        <v>0</v>
      </c>
      <c r="V672" s="112" t="n">
        <f aca="false">V671+IF(H450&lt;&gt;"",1,0)</f>
        <v>0</v>
      </c>
      <c r="W672" s="112" t="n">
        <f aca="false">W671+IF(H482&lt;&gt;"",1,0)</f>
        <v>0</v>
      </c>
      <c r="X672" s="112" t="n">
        <f aca="false">X671+IF(H514&lt;&gt;"",1,0)</f>
        <v>0</v>
      </c>
      <c r="Y672" s="112" t="n">
        <f aca="false">Y671+IF(H546&lt;&gt;"",1,0)</f>
        <v>0</v>
      </c>
      <c r="Z672" s="112" t="n">
        <f aca="false">Z671+IF($H578&lt;&gt;"",1,0)</f>
        <v>0</v>
      </c>
      <c r="AA672" s="300" t="n">
        <f aca="false">IF($BY672&lt;=U$615,MATCH($BY672,U$617:U$737,0))</f>
        <v>0</v>
      </c>
      <c r="AB672" s="112" t="n">
        <f aca="false">IF($BY672&lt;=V$615,MATCH($BY672,V$617:V$737,0))</f>
        <v>0</v>
      </c>
      <c r="AC672" s="112" t="n">
        <f aca="false">IF($BY672&lt;=W$615,MATCH($BY672,W$617:W$737,0))</f>
        <v>0</v>
      </c>
      <c r="AD672" s="112" t="n">
        <f aca="false">IF($BY672&lt;=X$615,MATCH($BY672,X$617:X$737,0))</f>
        <v>0</v>
      </c>
      <c r="AE672" s="112" t="n">
        <f aca="false">IF($BY672&lt;=Y$615,MATCH($BY672,Y$617:Y$737,0))</f>
        <v>0</v>
      </c>
      <c r="AF672" s="324" t="n">
        <f aca="false">IF($BY672&lt;=Z$615,MATCH($BY672,Z$617:Z$737,0))</f>
        <v>0</v>
      </c>
      <c r="AG672" s="325" t="str">
        <f aca="true">IF(AND(AA672&lt;="",AP65=""),OFFSET(Spells!H$2,AA672,0),"")</f>
        <v>Effect</v>
      </c>
      <c r="AH672" s="325" t="str">
        <f aca="true">IF(AND(AB672&lt;="",AP65=""),OFFSET(Spells!R$2,AB672,0),"")</f>
        <v>Effect</v>
      </c>
      <c r="AI672" s="325" t="str">
        <f aca="true">IF(AND(AC672&lt;="",AP65=""),OFFSET(Spells!AB$2,AC672,0),"")</f>
        <v>Effect</v>
      </c>
      <c r="AJ672" s="326" t="str">
        <f aca="true">IF(AND(AD672&lt;="",AP65=""),OFFSET(Spells!AL$2,AD672,0),"")</f>
        <v>Effect</v>
      </c>
      <c r="AK672" s="326" t="str">
        <f aca="true">IF(AND(AE672&lt;="",AP65=""),OFFSET(Spells!AV$2,AE672,0),"")</f>
        <v>Effect</v>
      </c>
      <c r="AL672" s="325" t="str">
        <f aca="true">IF(AND(AF672&lt;="",AP63=""),OFFSET(Spells!$H$2,AF672,0),"")</f>
        <v>Effect</v>
      </c>
      <c r="AM672" s="56"/>
      <c r="AN672" s="42"/>
      <c r="AO672" s="42"/>
      <c r="AP672" s="42"/>
      <c r="AQ672" s="340"/>
      <c r="AR672" s="327" t="str">
        <f aca="false">K107&amp;IF(Q107&lt;&gt;""," ("&amp;Q107&amp;")","")</f>
        <v/>
      </c>
      <c r="AS672" s="112" t="n">
        <f aca="false">O107</f>
        <v>0</v>
      </c>
      <c r="AT672" s="112" t="n">
        <f aca="true">OFFSET(CostSkill,AS672,0)-OFFSET(CostSkill,N107,0)</f>
        <v>0</v>
      </c>
      <c r="AU672" s="112" t="n">
        <f aca="false">P107</f>
        <v>0</v>
      </c>
      <c r="AV672" s="112" t="n">
        <f aca="false">AV671+IF(AND(AR672&lt;&gt;" ",AS672&gt;0),1,0)</f>
        <v>8</v>
      </c>
      <c r="AW672" s="324"/>
      <c r="AX672" s="327" t="str">
        <f aca="false">IF(Discipline2&lt;&gt;"",HLOOKUP(Discipline2,knackfordic,BY627)," ")</f>
        <v>By the Fingernails</v>
      </c>
      <c r="AY672" s="329" t="n">
        <f aca="false">IF(AX672&lt;&gt;" ",IF(ISERROR(MATCH(AX672,AX$621:AX$639,0)),MATCH(AX672,Talents!G$4:G$210)))</f>
        <v>0</v>
      </c>
      <c r="AZ672" s="329" t="str">
        <f aca="true">IF(AY672,OFFSET(Talents!H$2,Build!AY672,0)," ")</f>
        <v> </v>
      </c>
      <c r="BA672" s="112" t="str">
        <f aca="true">IF(AY672,OFFSET(Talents!J$2,Build!AY672,0)," ")</f>
        <v> </v>
      </c>
      <c r="BB672" s="112" t="str">
        <f aca="true">IF(AY672,OFFSET(Talents!I$2,Build!AY672,0)," ")</f>
        <v> </v>
      </c>
      <c r="BC672" s="112" t="str">
        <f aca="true">IF(AY672,OFFSET(Talents!K$1,Build!AY672,0)," ")</f>
        <v> </v>
      </c>
      <c r="BD672" s="112" t="n">
        <f aca="true">IF(AY672=0,0,IF(ISERROR(MATCH(AZ672,D$616:D$656,0)),OFFSET(E$656,MATCH(AZ672,D$657:D$697,0),0),IF(OFFSET(E$615,MATCH(AZ672,D$616:D$656,0),0)&gt;OFFSET(E$656,MATCH(AZ672,D$657:D$697,0),0),OFFSET(E$615,MATCH(AZ672,D$616:D$656,0),0),OFFSET(E$656,MATCH(AZ672,D$657:D$697,0),0))))</f>
        <v>0</v>
      </c>
      <c r="BE672" s="112" t="n">
        <f aca="false">BE671+IF(ISERROR(BD672), 0, IF(BD672&gt;=BB672, 1, 0))</f>
        <v>21</v>
      </c>
      <c r="BF672" s="324" t="n">
        <f aca="false">IF($BY649&lt;=BF$615,MATCH(BY649,BE$617:BE$681,0))</f>
        <v>0</v>
      </c>
      <c r="BY672" s="333" t="n">
        <f aca="false">BY671+1</f>
        <v>56</v>
      </c>
      <c r="BZ672" s="329" t="str">
        <f aca="false">T242</f>
        <v>Toga</v>
      </c>
      <c r="CA672" s="112" t="n">
        <f aca="false">W242</f>
        <v>0</v>
      </c>
      <c r="CB672" s="112" t="n">
        <f aca="false">X242</f>
        <v>0.6</v>
      </c>
      <c r="CC672" s="112" t="s">
        <v>301</v>
      </c>
      <c r="CD672" s="329" t="e">
        <f aca="false">FIND(",",BZ672)</f>
        <v>#VALUE!</v>
      </c>
      <c r="CE672" s="329" t="str">
        <f aca="false">IF(ISERROR(CD672),BZ672,MID(BZ672,CD672+2,20)&amp;" "&amp;LEFT(BZ672,CD672-1))&amp;IF(ISERROR(VALUE(CA672)),"",IF(CA672&gt;1," ("&amp;CA672&amp;")",""))</f>
        <v>Toga</v>
      </c>
      <c r="CF672" s="329" t="str">
        <f aca="false">IF(CC672=" "," ",IF(ISERROR(VALUE(CA672)),CC672,CA672*CC672))</f>
        <v> </v>
      </c>
      <c r="CG672" s="112" t="n">
        <f aca="false">CG671+IF(AND(BZ672&lt;&gt;0,CA672&lt;&gt;0),1,0)</f>
        <v>6</v>
      </c>
      <c r="CH672" s="112" t="n">
        <f aca="false">IF($BY672&lt;=CH$615,MATCH($BY672,CG$617:CG$863,0))</f>
        <v>0</v>
      </c>
    </row>
    <row r="673" s="32" customFormat="true" ht="12.75" hidden="false" customHeight="false" outlineLevel="0" collapsed="false">
      <c r="B673" s="279" t="n">
        <v>5</v>
      </c>
      <c r="C673" s="67" t="n">
        <f aca="false">AR33</f>
        <v>0</v>
      </c>
      <c r="D673" s="67" t="n">
        <f aca="false">IF(RIGHT(C673, 3)="(D)",LEFT(C673,LEN(C673)-4),C673)</f>
        <v>0</v>
      </c>
      <c r="E673" s="64" t="n">
        <f aca="false">W33</f>
        <v>0</v>
      </c>
      <c r="F673" s="182" t="n">
        <f aca="true">OFFSET(Cost_9_12,E673,0)</f>
        <v>0</v>
      </c>
      <c r="G673" s="64" t="e">
        <f aca="false">IF(C673&lt;&gt;" ",MATCH(D673,Talents!B$3:B$345,1),0)</f>
        <v>#N/A</v>
      </c>
      <c r="H673" s="64" t="e">
        <f aca="true">IF(G673=0," ",OFFSET(Talents!C$2,G673,0))</f>
        <v>#N/A</v>
      </c>
      <c r="I673" s="64" t="n">
        <f aca="false">IF(E673&gt;0,X33,0)</f>
        <v>0</v>
      </c>
      <c r="J673" s="64" t="e">
        <f aca="false">IF(H673&lt;&gt;" ",E673+VLOOKUP(H673,G$597:L$603,6,0)+I673," ")</f>
        <v>#N/A</v>
      </c>
      <c r="K673" s="64" t="e">
        <f aca="true">IF(J673&lt;&gt;" ",OFFSET(ActionDice,J673,0),"-")</f>
        <v>#N/A</v>
      </c>
      <c r="L673" s="67" t="n">
        <f aca="false">OR(RIGHT(C673, 3)="(D)", NOT(ISERROR(MATCH(D673&amp;" (D)", C$657:C$697, 0))))</f>
        <v>0</v>
      </c>
      <c r="M673" s="64" t="e">
        <f aca="true">IF(G673&gt;0,IF(L673,"D",OFFSET(Talents!D$2,G673,0))&amp;OFFSET(Talents!E$2,G673,0)," ")</f>
        <v>#N/A</v>
      </c>
      <c r="N673" s="64" t="n">
        <f aca="false">AND(Z33="",C673&lt;&gt;" ")</f>
        <v>0</v>
      </c>
      <c r="O673" s="300" t="n">
        <f aca="false">O672+IF(N672,1,0)</f>
        <v>18</v>
      </c>
      <c r="P673" s="324" t="n">
        <f aca="false">IF(Build!$BY673&lt;=Build!P$615,MATCH(Build!$BY673,Build!O$617:O$714,0))</f>
        <v>0</v>
      </c>
      <c r="S673" s="112" t="n">
        <f aca="false">S672+IF(E171&lt;&gt;"",1,0)</f>
        <v>3</v>
      </c>
      <c r="T673" s="112"/>
      <c r="U673" s="300" t="n">
        <f aca="false">U672+IF(H419&lt;&gt;"",1,0)</f>
        <v>0</v>
      </c>
      <c r="V673" s="112" t="n">
        <f aca="false">V672+IF(H451&lt;&gt;"",1,0)</f>
        <v>0</v>
      </c>
      <c r="W673" s="112" t="n">
        <f aca="false">W672+IF(H483&lt;&gt;"",1,0)</f>
        <v>0</v>
      </c>
      <c r="X673" s="112" t="n">
        <f aca="false">X672+IF(H515&lt;&gt;"",1,0)</f>
        <v>0</v>
      </c>
      <c r="Y673" s="112" t="n">
        <f aca="false">Y672+IF(H547&lt;&gt;"",1,0)</f>
        <v>0</v>
      </c>
      <c r="Z673" s="112" t="n">
        <f aca="false">Z672+IF($H579&lt;&gt;"",1,0)</f>
        <v>0</v>
      </c>
      <c r="AA673" s="300" t="n">
        <f aca="false">IF($BY673&lt;=U$615,MATCH($BY673,U$617:U$737,0))</f>
        <v>0</v>
      </c>
      <c r="AB673" s="112" t="n">
        <f aca="false">IF($BY673&lt;=V$615,MATCH($BY673,V$617:V$737,0))</f>
        <v>0</v>
      </c>
      <c r="AC673" s="112" t="n">
        <f aca="false">IF($BY673&lt;=W$615,MATCH($BY673,W$617:W$737,0))</f>
        <v>0</v>
      </c>
      <c r="AD673" s="112" t="n">
        <f aca="false">IF($BY673&lt;=X$615,MATCH($BY673,X$617:X$737,0))</f>
        <v>0</v>
      </c>
      <c r="AE673" s="112" t="n">
        <f aca="false">IF($BY673&lt;=Y$615,MATCH($BY673,Y$617:Y$737,0))</f>
        <v>0</v>
      </c>
      <c r="AF673" s="324" t="n">
        <f aca="false">IF($BY673&lt;=Z$615,MATCH($BY673,Z$617:Z$737,0))</f>
        <v>0</v>
      </c>
      <c r="AG673" s="325" t="str">
        <f aca="true">IF(AND(AA673&lt;="",AP66=""),OFFSET(Spells!H$2,AA673,0),"")</f>
        <v>Effect</v>
      </c>
      <c r="AH673" s="325" t="str">
        <f aca="true">IF(AND(AB673&lt;="",AP66=""),OFFSET(Spells!R$2,AB673,0),"")</f>
        <v>Effect</v>
      </c>
      <c r="AI673" s="325" t="str">
        <f aca="true">IF(AND(AC673&lt;="",AP66=""),OFFSET(Spells!AB$2,AC673,0),"")</f>
        <v>Effect</v>
      </c>
      <c r="AJ673" s="326" t="str">
        <f aca="true">IF(AND(AD673&lt;="",AP66=""),OFFSET(Spells!AL$2,AD673,0),"")</f>
        <v>Effect</v>
      </c>
      <c r="AK673" s="326" t="str">
        <f aca="true">IF(AND(AE673&lt;="",AP66=""),OFFSET(Spells!AV$2,AE673,0),"")</f>
        <v>Effect</v>
      </c>
      <c r="AL673" s="325" t="str">
        <f aca="true">IF(AND(AF673&lt;="",AP64=""),OFFSET(Spells!$H$2,AF673,0),"")</f>
        <v>Effect</v>
      </c>
      <c r="AM673" s="56"/>
      <c r="AN673" s="42"/>
      <c r="AO673" s="42"/>
      <c r="AP673" s="42"/>
      <c r="AQ673" s="340"/>
      <c r="AR673" s="327" t="str">
        <f aca="false">K108&amp;IF(Q108&lt;&gt;""," ("&amp;Q108&amp;")","")</f>
        <v>ARTISAN SKILLS</v>
      </c>
      <c r="AS673" s="112" t="n">
        <f aca="false">O108</f>
        <v>0</v>
      </c>
      <c r="AT673" s="112" t="n">
        <f aca="true">OFFSET(CostSkill,AS673,0)-OFFSET(CostSkill,N108,0)</f>
        <v>0</v>
      </c>
      <c r="AU673" s="112" t="n">
        <f aca="false">P108</f>
        <v>0</v>
      </c>
      <c r="AV673" s="112" t="n">
        <f aca="false">AV672+IF(AND(AR673&lt;&gt;" ",AS673&gt;0),1,0)</f>
        <v>8</v>
      </c>
      <c r="AW673" s="324"/>
      <c r="AX673" s="327" t="str">
        <f aca="false">IF(Discipline2&lt;&gt;"",HLOOKUP(Discipline2,knackfordic,BY628)," ")</f>
        <v>Corner of the Eye</v>
      </c>
      <c r="AY673" s="329" t="n">
        <f aca="false">IF(AX673&lt;&gt;" ",IF(ISERROR(MATCH(AX673,AX$621:AX$639,0)),MATCH(AX673,Talents!G$4:G$210)))</f>
        <v>41</v>
      </c>
      <c r="AZ673" s="329" t="str">
        <f aca="true">IF(AY673,OFFSET(Talents!H$2,Build!AY673,0)," ")</f>
        <v>Steely Stare</v>
      </c>
      <c r="BA673" s="112" t="n">
        <f aca="true">IF(AY673,OFFSET(Talents!J$2,Build!AY673,0)," ")</f>
        <v>2</v>
      </c>
      <c r="BB673" s="112" t="n">
        <f aca="true">IF(AY673,OFFSET(Talents!I$2,Build!AY673,0)," ")</f>
        <v>6</v>
      </c>
      <c r="BC673" s="112" t="n">
        <f aca="true">IF(AY673,OFFSET(Talents!K$1,Build!AY673,0)," ")</f>
        <v>8900</v>
      </c>
      <c r="BD673" s="112" t="e">
        <f aca="true">IF(AY673=0,0,IF(ISERROR(MATCH(AZ673,D$616:D$656,0)),OFFSET(E$656,MATCH(AZ673,D$657:D$697,0),0),IF(OFFSET(E$615,MATCH(AZ673,D$616:D$656,0),0)&gt;OFFSET(E$656,MATCH(AZ673,D$657:D$697,0),0),OFFSET(E$615,MATCH(AZ673,D$616:D$656,0),0),OFFSET(E$656,MATCH(AZ673,D$657:D$697,0),0))))</f>
        <v>#N/A</v>
      </c>
      <c r="BE673" s="112" t="n">
        <f aca="false">BE672+IF(ISERROR(BD673), 0, IF(BD673&gt;=BB673, 1, 0))</f>
        <v>21</v>
      </c>
      <c r="BF673" s="324" t="n">
        <f aca="false">IF($BY650&lt;=BF$615,MATCH(BY650,BE$617:BE$681,0))</f>
        <v>0</v>
      </c>
      <c r="BY673" s="333" t="n">
        <f aca="false">BY672+1</f>
        <v>57</v>
      </c>
      <c r="BZ673" s="329" t="str">
        <f aca="false">T243</f>
        <v>Tunic</v>
      </c>
      <c r="CA673" s="112" t="n">
        <f aca="false">W243</f>
        <v>0</v>
      </c>
      <c r="CB673" s="112" t="n">
        <f aca="false">X243</f>
        <v>0.4</v>
      </c>
      <c r="CC673" s="112" t="s">
        <v>301</v>
      </c>
      <c r="CD673" s="329" t="e">
        <f aca="false">FIND(",",BZ673)</f>
        <v>#VALUE!</v>
      </c>
      <c r="CE673" s="329" t="str">
        <f aca="false">IF(ISERROR(CD673),BZ673,MID(BZ673,CD673+2,20)&amp;" "&amp;LEFT(BZ673,CD673-1))&amp;IF(ISERROR(VALUE(CA673)),"",IF(CA673&gt;1," ("&amp;CA673&amp;")",""))</f>
        <v>Tunic</v>
      </c>
      <c r="CF673" s="329" t="str">
        <f aca="false">IF(CC673=" "," ",IF(ISERROR(VALUE(CA673)),CC673,CA673*CC673))</f>
        <v> </v>
      </c>
      <c r="CG673" s="112" t="n">
        <f aca="false">CG672+IF(AND(BZ673&lt;&gt;0,CA673&lt;&gt;0),1,0)</f>
        <v>6</v>
      </c>
      <c r="CH673" s="112" t="n">
        <f aca="false">IF($BY673&lt;=CH$615,MATCH($BY673,CG$617:CG$863,0))</f>
        <v>0</v>
      </c>
    </row>
    <row r="674" s="32" customFormat="true" ht="12.75" hidden="false" customHeight="false" outlineLevel="0" collapsed="false">
      <c r="B674" s="279" t="n">
        <v>6</v>
      </c>
      <c r="C674" s="67" t="str">
        <f aca="false">IF(AND(Discipline2&lt;&gt;"",Circle2&gt;=$B674),HLOOKUP(Discipline2,talentfordisc,1+BY634,0)," ")</f>
        <v> </v>
      </c>
      <c r="D674" s="67" t="str">
        <f aca="false">IF(RIGHT(C674, 3)="(D)",LEFT(C674,LEN(C674)-4),C674)</f>
        <v> </v>
      </c>
      <c r="E674" s="64" t="n">
        <f aca="false">W34</f>
        <v>0</v>
      </c>
      <c r="F674" s="182" t="n">
        <f aca="true">OFFSET(Cost_9_12,E674,0)</f>
        <v>0</v>
      </c>
      <c r="G674" s="64" t="n">
        <f aca="false">IF(C674&lt;&gt;" ",MATCH(D674,Talents!B$3:B$345,1),0)</f>
        <v>0</v>
      </c>
      <c r="H674" s="64" t="str">
        <f aca="true">IF(G674=0," ",OFFSET(Talents!C$2,G674,0))</f>
        <v> </v>
      </c>
      <c r="I674" s="64" t="n">
        <f aca="false">IF(E674&gt;0,X34,0)</f>
        <v>0</v>
      </c>
      <c r="J674" s="64" t="str">
        <f aca="false">IF(H674&lt;&gt;" ",E674+VLOOKUP(H674,G$597:L$603,6,0)+I674," ")</f>
        <v> </v>
      </c>
      <c r="K674" s="64" t="str">
        <f aca="true">IF(J674&lt;&gt;" ",OFFSET(ActionDice,J674,0),"-")</f>
        <v>-</v>
      </c>
      <c r="L674" s="67" t="n">
        <f aca="false">OR(RIGHT(C674, 3)="(D)", NOT(ISERROR(MATCH(D674&amp;" (D)", C$657:C$697, 0))))</f>
        <v>0</v>
      </c>
      <c r="M674" s="64" t="str">
        <f aca="true">IF(G674&gt;0,IF(L674,"D",OFFSET(Talents!D$2,G674,0))&amp;OFFSET(Talents!E$2,G674,0)," ")</f>
        <v> </v>
      </c>
      <c r="N674" s="64" t="n">
        <f aca="false">AND(Z34="",C674&lt;&gt;" ")</f>
        <v>0</v>
      </c>
      <c r="O674" s="300" t="n">
        <f aca="false">O673+IF(N673,1,0)</f>
        <v>18</v>
      </c>
      <c r="P674" s="324" t="n">
        <f aca="false">IF(Build!$BY674&lt;=Build!P$615,MATCH(Build!$BY674,Build!O$617:O$714,0))</f>
        <v>0</v>
      </c>
      <c r="S674" s="112" t="n">
        <f aca="false">S673+IF(E172&lt;&gt;"",1,0)</f>
        <v>3</v>
      </c>
      <c r="T674" s="112"/>
      <c r="U674" s="300" t="n">
        <f aca="false">U673+IF(H420&lt;&gt;"",1,0)</f>
        <v>0</v>
      </c>
      <c r="V674" s="112" t="n">
        <f aca="false">V673+IF(H452&lt;&gt;"",1,0)</f>
        <v>0</v>
      </c>
      <c r="W674" s="112" t="n">
        <f aca="false">W673+IF(H484&lt;&gt;"",1,0)</f>
        <v>0</v>
      </c>
      <c r="X674" s="112" t="n">
        <f aca="false">X673+IF(H516&lt;&gt;"",1,0)</f>
        <v>0</v>
      </c>
      <c r="Y674" s="112" t="n">
        <f aca="false">Y673+IF(H548&lt;&gt;"",1,0)</f>
        <v>0</v>
      </c>
      <c r="Z674" s="112" t="n">
        <f aca="false">Z673+IF($H580&lt;&gt;"",1,0)</f>
        <v>0</v>
      </c>
      <c r="AA674" s="300" t="n">
        <f aca="false">IF($BY674&lt;=U$615,MATCH($BY674,U$617:U$737,0))</f>
        <v>0</v>
      </c>
      <c r="AB674" s="112" t="n">
        <f aca="false">IF($BY674&lt;=V$615,MATCH($BY674,V$617:V$737,0))</f>
        <v>0</v>
      </c>
      <c r="AC674" s="112" t="n">
        <f aca="false">IF($BY674&lt;=W$615,MATCH($BY674,W$617:W$737,0))</f>
        <v>0</v>
      </c>
      <c r="AD674" s="112" t="n">
        <f aca="false">IF($BY674&lt;=X$615,MATCH($BY674,X$617:X$737,0))</f>
        <v>0</v>
      </c>
      <c r="AE674" s="112" t="n">
        <f aca="false">IF($BY674&lt;=Y$615,MATCH($BY674,Y$617:Y$737,0))</f>
        <v>0</v>
      </c>
      <c r="AF674" s="324" t="n">
        <f aca="false">IF($BY674&lt;=Z$615,MATCH($BY674,Z$617:Z$737,0))</f>
        <v>0</v>
      </c>
      <c r="AG674" s="325" t="str">
        <f aca="true">IF(AND(AA674&lt;="",AP67=""),OFFSET(Spells!H$2,AA674,0),"")</f>
        <v>Effect</v>
      </c>
      <c r="AH674" s="325" t="str">
        <f aca="true">IF(AND(AB674&lt;="",AP67=""),OFFSET(Spells!R$2,AB674,0),"")</f>
        <v>Effect</v>
      </c>
      <c r="AI674" s="325" t="str">
        <f aca="true">IF(AND(AC674&lt;="",AP67=""),OFFSET(Spells!AB$2,AC674,0),"")</f>
        <v>Effect</v>
      </c>
      <c r="AJ674" s="326" t="str">
        <f aca="true">IF(AND(AD674&lt;="",AP67=""),OFFSET(Spells!AL$2,AD674,0),"")</f>
        <v>Effect</v>
      </c>
      <c r="AK674" s="326" t="str">
        <f aca="true">IF(AND(AE674&lt;="",AP67=""),OFFSET(Spells!AV$2,AE674,0),"")</f>
        <v>Effect</v>
      </c>
      <c r="AL674" s="325" t="str">
        <f aca="true">IF(AND(AF674&lt;="",AP65=""),OFFSET(Spells!$H$2,AF674,0),"")</f>
        <v>Effect</v>
      </c>
      <c r="AM674" s="56"/>
      <c r="AN674" s="42"/>
      <c r="AO674" s="42"/>
      <c r="AP674" s="42"/>
      <c r="AQ674" s="340"/>
      <c r="AR674" s="327" t="str">
        <f aca="false">K109&amp;IF(Q109&lt;&gt;""," ("&amp;Q109&amp;")","")</f>
        <v>Read/Write Language</v>
      </c>
      <c r="AS674" s="112" t="n">
        <f aca="false">O109</f>
        <v>2</v>
      </c>
      <c r="AT674" s="112" t="n">
        <f aca="true">OFFSET(CostSkill,AS674,0)-OFFSET(CostSkill,N109,0)</f>
        <v>300</v>
      </c>
      <c r="AU674" s="112" t="str">
        <f aca="false">P109</f>
        <v>P</v>
      </c>
      <c r="AV674" s="112" t="n">
        <f aca="false">AV673+IF(AND(AR674&lt;&gt;" ",AS674&gt;0),1,0)</f>
        <v>9</v>
      </c>
      <c r="AW674" s="324"/>
      <c r="AX674" s="327" t="str">
        <f aca="false">IF(Discipline2&lt;&gt;"",HLOOKUP(Discipline2,knackfordic,BY629)," ")</f>
        <v>Cover</v>
      </c>
      <c r="AY674" s="329" t="n">
        <f aca="false">IF(AX674&lt;&gt;" ",IF(ISERROR(MATCH(AX674,AX$621:AX$639,0)),MATCH(AX674,Talents!G$4:G$210)))</f>
        <v>0</v>
      </c>
      <c r="AZ674" s="329" t="str">
        <f aca="true">IF(AY674,OFFSET(Talents!H$2,Build!AY674,0)," ")</f>
        <v> </v>
      </c>
      <c r="BA674" s="112" t="str">
        <f aca="true">IF(AY674,OFFSET(Talents!J$2,Build!AY674,0)," ")</f>
        <v> </v>
      </c>
      <c r="BB674" s="112" t="str">
        <f aca="true">IF(AY674,OFFSET(Talents!I$2,Build!AY674,0)," ")</f>
        <v> </v>
      </c>
      <c r="BC674" s="112" t="str">
        <f aca="true">IF(AY674,OFFSET(Talents!K$1,Build!AY674,0)," ")</f>
        <v> </v>
      </c>
      <c r="BD674" s="112" t="n">
        <f aca="true">IF(AY674=0,0,IF(ISERROR(MATCH(AZ674,D$616:D$656,0)),OFFSET(E$656,MATCH(AZ674,D$657:D$697,0),0),IF(OFFSET(E$615,MATCH(AZ674,D$616:D$656,0),0)&gt;OFFSET(E$656,MATCH(AZ674,D$657:D$697,0),0),OFFSET(E$615,MATCH(AZ674,D$616:D$656,0),0),OFFSET(E$656,MATCH(AZ674,D$657:D$697,0),0))))</f>
        <v>0</v>
      </c>
      <c r="BE674" s="112" t="n">
        <f aca="false">BE673+IF(ISERROR(BD674), 0, IF(BD674&gt;=BB674, 1, 0))</f>
        <v>21</v>
      </c>
      <c r="BF674" s="324" t="n">
        <f aca="false">IF($BY651&lt;=BF$615,MATCH(BY651,BE$617:BE$681,0))</f>
        <v>0</v>
      </c>
      <c r="BY674" s="333" t="n">
        <f aca="false">BY673+1</f>
        <v>58</v>
      </c>
      <c r="BZ674" s="329" t="n">
        <f aca="false">T244</f>
        <v>0</v>
      </c>
      <c r="CA674" s="112" t="n">
        <f aca="false">W244</f>
        <v>0</v>
      </c>
      <c r="CB674" s="112" t="n">
        <f aca="false">X244</f>
        <v>0</v>
      </c>
      <c r="CC674" s="112" t="s">
        <v>301</v>
      </c>
      <c r="CD674" s="329" t="e">
        <f aca="false">FIND(",",BZ674)</f>
        <v>#VALUE!</v>
      </c>
      <c r="CE674" s="329" t="str">
        <f aca="false">IF(ISERROR(CD674),BZ674,MID(BZ674,CD674+2,20)&amp;" "&amp;LEFT(BZ674,CD674-1))&amp;IF(ISERROR(VALUE(CA674)),"",IF(CA674&gt;1," ("&amp;CA674&amp;")",""))</f>
        <v>0</v>
      </c>
      <c r="CF674" s="329" t="str">
        <f aca="false">IF(CC674=" "," ",IF(ISERROR(VALUE(CA674)),CC674,CA674*CC674))</f>
        <v> </v>
      </c>
      <c r="CG674" s="112" t="n">
        <f aca="false">CG673+IF(AND(BZ674&lt;&gt;0,CA674&lt;&gt;0),1,0)</f>
        <v>6</v>
      </c>
      <c r="CH674" s="112" t="n">
        <f aca="false">IF($BY674&lt;=CH$615,MATCH($BY674,CG$617:CG$863,0))</f>
        <v>0</v>
      </c>
    </row>
    <row r="675" s="32" customFormat="true" ht="12.75" hidden="false" customHeight="false" outlineLevel="0" collapsed="false">
      <c r="B675" s="279" t="n">
        <v>6</v>
      </c>
      <c r="C675" s="67" t="n">
        <f aca="false">AR35</f>
        <v>0</v>
      </c>
      <c r="D675" s="67" t="n">
        <f aca="false">IF(RIGHT(C675, 3)="(D)",LEFT(C675,LEN(C675)-4),C675)</f>
        <v>0</v>
      </c>
      <c r="E675" s="64" t="n">
        <f aca="false">W35</f>
        <v>0</v>
      </c>
      <c r="F675" s="182" t="n">
        <f aca="true">OFFSET(Cost_9_12,E675,0)</f>
        <v>0</v>
      </c>
      <c r="G675" s="64" t="e">
        <f aca="false">IF(C675&lt;&gt;" ",MATCH(D675,Talents!B$3:B$345,1),0)</f>
        <v>#N/A</v>
      </c>
      <c r="H675" s="64" t="e">
        <f aca="true">IF(G675=0," ",OFFSET(Talents!C$2,G675,0))</f>
        <v>#N/A</v>
      </c>
      <c r="I675" s="64" t="n">
        <f aca="false">IF(E675&gt;0,X35,0)</f>
        <v>0</v>
      </c>
      <c r="J675" s="64" t="e">
        <f aca="false">IF(H675&lt;&gt;" ",E675+VLOOKUP(H675,G$597:L$603,6,0)+I675," ")</f>
        <v>#N/A</v>
      </c>
      <c r="K675" s="64" t="e">
        <f aca="true">IF(J675&lt;&gt;" ",OFFSET(ActionDice,J675,0),"-")</f>
        <v>#N/A</v>
      </c>
      <c r="L675" s="67" t="n">
        <f aca="false">OR(RIGHT(C675, 3)="(D)", NOT(ISERROR(MATCH(D675&amp;" (D)", C$657:C$697, 0))))</f>
        <v>0</v>
      </c>
      <c r="M675" s="64" t="e">
        <f aca="true">IF(G675&gt;0,IF(L675,"D",OFFSET(Talents!D$2,G675,0))&amp;OFFSET(Talents!E$2,G675,0)," ")</f>
        <v>#N/A</v>
      </c>
      <c r="N675" s="64" t="n">
        <f aca="false">AND(Z35="",C675&lt;&gt;" ")</f>
        <v>0</v>
      </c>
      <c r="O675" s="300" t="n">
        <f aca="false">O674+IF(N674,1,0)</f>
        <v>18</v>
      </c>
      <c r="P675" s="324" t="n">
        <f aca="false">IF(Build!$BY675&lt;=Build!P$615,MATCH(Build!$BY675,Build!O$617:O$714,0))</f>
        <v>0</v>
      </c>
      <c r="S675" s="112" t="n">
        <f aca="false">S674+IF(E173&lt;&gt;"",1,0)</f>
        <v>3</v>
      </c>
      <c r="T675" s="112"/>
      <c r="U675" s="300" t="n">
        <f aca="false">U674+IF(H421&lt;&gt;"",1,0)</f>
        <v>0</v>
      </c>
      <c r="V675" s="112" t="n">
        <f aca="false">V674+IF(H453&lt;&gt;"",1,0)</f>
        <v>0</v>
      </c>
      <c r="W675" s="112" t="n">
        <f aca="false">W674+IF(H485&lt;&gt;"",1,0)</f>
        <v>0</v>
      </c>
      <c r="X675" s="112" t="n">
        <f aca="false">X674+IF(H517&lt;&gt;"",1,0)</f>
        <v>0</v>
      </c>
      <c r="Y675" s="112" t="n">
        <f aca="false">Y674+IF(H549&lt;&gt;"",1,0)</f>
        <v>0</v>
      </c>
      <c r="Z675" s="112" t="n">
        <f aca="false">Z674+IF($H581&lt;&gt;"",1,0)</f>
        <v>0</v>
      </c>
      <c r="AA675" s="300" t="n">
        <f aca="false">IF($BY675&lt;=U$615,MATCH($BY675,U$617:U$737,0))</f>
        <v>0</v>
      </c>
      <c r="AB675" s="112" t="n">
        <f aca="false">IF($BY675&lt;=V$615,MATCH($BY675,V$617:V$737,0))</f>
        <v>0</v>
      </c>
      <c r="AC675" s="112" t="n">
        <f aca="false">IF($BY675&lt;=W$615,MATCH($BY675,W$617:W$737,0))</f>
        <v>0</v>
      </c>
      <c r="AD675" s="112" t="n">
        <f aca="false">IF($BY675&lt;=X$615,MATCH($BY675,X$617:X$737,0))</f>
        <v>0</v>
      </c>
      <c r="AE675" s="112" t="n">
        <f aca="false">IF($BY675&lt;=Y$615,MATCH($BY675,Y$617:Y$737,0))</f>
        <v>0</v>
      </c>
      <c r="AF675" s="324" t="n">
        <f aca="false">IF($BY675&lt;=Z$615,MATCH($BY675,Z$617:Z$737,0))</f>
        <v>0</v>
      </c>
      <c r="AG675" s="325" t="str">
        <f aca="true">IF(AND(AA675&lt;="",AP68=""),OFFSET(Spells!H$2,AA675,0),"")</f>
        <v>Effect</v>
      </c>
      <c r="AH675" s="325" t="str">
        <f aca="true">IF(AND(AB675&lt;="",AP68=""),OFFSET(Spells!R$2,AB675,0),"")</f>
        <v>Effect</v>
      </c>
      <c r="AI675" s="325" t="str">
        <f aca="true">IF(AND(AC675&lt;="",AP68=""),OFFSET(Spells!AB$2,AC675,0),"")</f>
        <v>Effect</v>
      </c>
      <c r="AJ675" s="326" t="str">
        <f aca="true">IF(AND(AD675&lt;="",AP68=""),OFFSET(Spells!AL$2,AD675,0),"")</f>
        <v>Effect</v>
      </c>
      <c r="AK675" s="326" t="str">
        <f aca="true">IF(AND(AE675&lt;="",AP68=""),OFFSET(Spells!AV$2,AE675,0),"")</f>
        <v>Effect</v>
      </c>
      <c r="AL675" s="325" t="str">
        <f aca="true">IF(AND(AF675&lt;="",AP66=""),OFFSET(Spells!$H$2,AF675,0),"")</f>
        <v>Effect</v>
      </c>
      <c r="AM675" s="56"/>
      <c r="AN675" s="42"/>
      <c r="AO675" s="42"/>
      <c r="AP675" s="42"/>
      <c r="AQ675" s="340"/>
      <c r="AR675" s="327" t="str">
        <f aca="false">K110&amp;IF(Q110&lt;&gt;""," ("&amp;Q110&amp;")","")</f>
        <v>Speak Language</v>
      </c>
      <c r="AS675" s="112" t="n">
        <f aca="false">O110</f>
        <v>2</v>
      </c>
      <c r="AT675" s="112" t="n">
        <f aca="true">OFFSET(CostSkill,AS675,0)-OFFSET(CostSkill,N110,0)</f>
        <v>0</v>
      </c>
      <c r="AU675" s="112" t="str">
        <f aca="false">P110</f>
        <v>P</v>
      </c>
      <c r="AV675" s="112" t="n">
        <f aca="false">AV674+IF(AND(AR675&lt;&gt;" ",AS675&gt;0),1,0)</f>
        <v>10</v>
      </c>
      <c r="AW675" s="324"/>
      <c r="AX675" s="327" t="str">
        <f aca="false">IF(Discipline2&lt;&gt;"",HLOOKUP(Discipline2,knackfordic,BY630)," ")</f>
        <v>Covet Item</v>
      </c>
      <c r="AY675" s="329" t="n">
        <f aca="false">IF(AX675&lt;&gt;" ",IF(ISERROR(MATCH(AX675,AX$621:AX$639,0)),MATCH(AX675,Talents!G$4:G$210,0)))</f>
        <v>44</v>
      </c>
      <c r="AZ675" s="329" t="str">
        <f aca="true">IF(AY675,OFFSET(Talents!H$2,Build!AY675,0)," ")</f>
        <v>Avoid Blow</v>
      </c>
      <c r="BA675" s="112" t="n">
        <f aca="true">IF(AY675,OFFSET(Talents!J$2,Build!AY675,0)," ")</f>
        <v>1</v>
      </c>
      <c r="BB675" s="112" t="n">
        <f aca="true">IF(AY675,OFFSET(Talents!I$2,Build!AY675,0)," ")</f>
        <v>4</v>
      </c>
      <c r="BC675" s="112" t="n">
        <f aca="true">IF(AY675,OFFSET(Talents!K$1,Build!AY675,0)," ")</f>
        <v>8900</v>
      </c>
      <c r="BD675" s="112" t="e">
        <f aca="true">IF(AY675=0,0,IF(ISERROR(MATCH(AZ675,D$616:D$656,0)),OFFSET(E$656,MATCH(AZ675,D$657:D$697,0),0),IF(OFFSET(E$615,MATCH(AZ675,D$616:D$656,0),0)&gt;OFFSET(E$656,MATCH(AZ675,D$657:D$697,0),0),OFFSET(E$615,MATCH(AZ675,D$616:D$656,0),0),OFFSET(E$656,MATCH(AZ675,D$657:D$697,0),0))))</f>
        <v>#N/A</v>
      </c>
      <c r="BE675" s="112" t="n">
        <f aca="false">BE674+IF(ISERROR(BD675), 0, IF(BD675&gt;=BB675, 1, 0))</f>
        <v>21</v>
      </c>
      <c r="BF675" s="324" t="n">
        <f aca="false">IF($BY652&lt;=BF$615,MATCH(BY652,BE$617:BE$681,0))</f>
        <v>0</v>
      </c>
      <c r="BY675" s="333" t="n">
        <f aca="false">BY674+1</f>
        <v>59</v>
      </c>
      <c r="BZ675" s="329" t="n">
        <f aca="false">T245</f>
        <v>0</v>
      </c>
      <c r="CA675" s="112" t="n">
        <f aca="false">W245</f>
        <v>0</v>
      </c>
      <c r="CB675" s="112" t="n">
        <f aca="false">X245</f>
        <v>0</v>
      </c>
      <c r="CC675" s="112" t="s">
        <v>301</v>
      </c>
      <c r="CD675" s="329" t="e">
        <f aca="false">FIND(",",BZ675)</f>
        <v>#VALUE!</v>
      </c>
      <c r="CE675" s="329" t="str">
        <f aca="false">IF(ISERROR(CD675),BZ675,MID(BZ675,CD675+2,20)&amp;" "&amp;LEFT(BZ675,CD675-1))&amp;IF(ISERROR(VALUE(CA675)),"",IF(CA675&gt;1," ("&amp;CA675&amp;")",""))</f>
        <v>0</v>
      </c>
      <c r="CF675" s="329" t="str">
        <f aca="false">IF(CC675=" "," ",IF(ISERROR(VALUE(CA675)),CC675,CA675*CC675))</f>
        <v> </v>
      </c>
      <c r="CG675" s="112" t="n">
        <f aca="false">CG674+IF(AND(BZ675&lt;&gt;0,CA675&lt;&gt;0),1,0)</f>
        <v>6</v>
      </c>
      <c r="CH675" s="112" t="n">
        <f aca="false">IF($BY675&lt;=CH$615,MATCH($BY675,CG$617:CG$863,0))</f>
        <v>0</v>
      </c>
    </row>
    <row r="676" s="32" customFormat="true" ht="12.75" hidden="false" customHeight="false" outlineLevel="0" collapsed="false">
      <c r="B676" s="279" t="n">
        <v>7</v>
      </c>
      <c r="C676" s="67" t="str">
        <f aca="false">IF(AND(Discipline2&lt;&gt;"",Circle2&gt;=$B676),HLOOKUP(Discipline2,talentfordisc,1+BY636,0)," ")</f>
        <v> </v>
      </c>
      <c r="D676" s="67" t="str">
        <f aca="false">IF(RIGHT(C676, 3)="(D)",LEFT(C676,LEN(C676)-4),C676)</f>
        <v> </v>
      </c>
      <c r="E676" s="64" t="n">
        <f aca="false">W36</f>
        <v>0</v>
      </c>
      <c r="F676" s="182" t="n">
        <f aca="true">OFFSET(Cost_9_12,E676,0)</f>
        <v>0</v>
      </c>
      <c r="G676" s="64" t="n">
        <f aca="false">IF(C676&lt;&gt;" ",MATCH(D676,Talents!B$3:B$345,1),0)</f>
        <v>0</v>
      </c>
      <c r="H676" s="64" t="str">
        <f aca="true">IF(G676=0," ",OFFSET(Talents!C$2,G676,0))</f>
        <v> </v>
      </c>
      <c r="I676" s="64" t="n">
        <f aca="false">IF(E676&gt;0,X36,0)</f>
        <v>0</v>
      </c>
      <c r="J676" s="64" t="str">
        <f aca="false">IF(H676&lt;&gt;" ",E676+VLOOKUP(H676,G$597:L$603,6,0)+I676," ")</f>
        <v> </v>
      </c>
      <c r="K676" s="64" t="str">
        <f aca="true">IF(J676&lt;&gt;" ",OFFSET(ActionDice,J676,0),"-")</f>
        <v>-</v>
      </c>
      <c r="L676" s="67" t="n">
        <f aca="false">OR(RIGHT(C676, 3)="(D)", NOT(ISERROR(MATCH(D676&amp;" (D)", C$657:C$697, 0))))</f>
        <v>0</v>
      </c>
      <c r="M676" s="64" t="str">
        <f aca="true">IF(G676&gt;0,IF(L676,"D",OFFSET(Talents!D$2,G676,0))&amp;OFFSET(Talents!E$2,G676,0)," ")</f>
        <v> </v>
      </c>
      <c r="N676" s="64" t="n">
        <f aca="false">AND(Z36="",C676&lt;&gt;" ")</f>
        <v>0</v>
      </c>
      <c r="O676" s="300" t="n">
        <f aca="false">O675+IF(N675,1,0)</f>
        <v>18</v>
      </c>
      <c r="P676" s="324" t="n">
        <f aca="false">IF(Build!$BY676&lt;=Build!P$615,MATCH(Build!$BY676,Build!O$617:O$714,0))</f>
        <v>0</v>
      </c>
      <c r="S676" s="112" t="n">
        <f aca="false">S675+IF(E174&lt;&gt;"",1,0)</f>
        <v>3</v>
      </c>
      <c r="T676" s="112"/>
      <c r="U676" s="300" t="n">
        <f aca="false">U675+IF(H422&lt;&gt;"",1,0)</f>
        <v>0</v>
      </c>
      <c r="V676" s="112" t="n">
        <f aca="false">V675+IF(H454&lt;&gt;"",1,0)</f>
        <v>0</v>
      </c>
      <c r="W676" s="112" t="n">
        <f aca="false">W675+IF(H486&lt;&gt;"",1,0)</f>
        <v>0</v>
      </c>
      <c r="X676" s="112" t="n">
        <f aca="false">X675+IF(H518&lt;&gt;"",1,0)</f>
        <v>0</v>
      </c>
      <c r="Y676" s="112" t="n">
        <f aca="false">Y675+IF(H550&lt;&gt;"",1,0)</f>
        <v>0</v>
      </c>
      <c r="Z676" s="112" t="n">
        <f aca="false">Z675+IF($H582&lt;&gt;"",1,0)</f>
        <v>0</v>
      </c>
      <c r="AA676" s="300" t="n">
        <f aca="false">IF($BY676&lt;=U$615,MATCH($BY676,U$617:U$737,0))</f>
        <v>0</v>
      </c>
      <c r="AB676" s="112" t="n">
        <f aca="false">IF($BY676&lt;=V$615,MATCH($BY676,V$617:V$737,0))</f>
        <v>0</v>
      </c>
      <c r="AC676" s="112" t="n">
        <f aca="false">IF($BY676&lt;=W$615,MATCH($BY676,W$617:W$737,0))</f>
        <v>0</v>
      </c>
      <c r="AD676" s="112" t="n">
        <f aca="false">IF($BY676&lt;=X$615,MATCH($BY676,X$617:X$737,0))</f>
        <v>0</v>
      </c>
      <c r="AE676" s="112" t="n">
        <f aca="false">IF($BY676&lt;=Y$615,MATCH($BY676,Y$617:Y$737,0))</f>
        <v>0</v>
      </c>
      <c r="AF676" s="324" t="n">
        <f aca="false">IF($BY676&lt;=Z$615,MATCH($BY676,Z$617:Z$737,0))</f>
        <v>0</v>
      </c>
      <c r="AG676" s="325" t="str">
        <f aca="true">IF(AND(AA676&lt;="",AP69=""),OFFSET(Spells!H$2,AA676,0),"")</f>
        <v>Effect</v>
      </c>
      <c r="AH676" s="325" t="str">
        <f aca="true">IF(AND(AB676&lt;="",AP69=""),OFFSET(Spells!R$2,AB676,0),"")</f>
        <v>Effect</v>
      </c>
      <c r="AI676" s="325" t="str">
        <f aca="true">IF(AND(AC676&lt;="",AP69=""),OFFSET(Spells!AB$2,AC676,0),"")</f>
        <v>Effect</v>
      </c>
      <c r="AJ676" s="326" t="str">
        <f aca="true">IF(AND(AD676&lt;="",AP69=""),OFFSET(Spells!AL$2,AD676,0),"")</f>
        <v>Effect</v>
      </c>
      <c r="AK676" s="326" t="str">
        <f aca="true">IF(AND(AE676&lt;="",AP69=""),OFFSET(Spells!AV$2,AE676,0),"")</f>
        <v>Effect</v>
      </c>
      <c r="AL676" s="325" t="str">
        <f aca="true">IF(AND(AF676&lt;="",AP67=""),OFFSET(Spells!$H$2,AF676,0),"")</f>
        <v>Effect</v>
      </c>
      <c r="AM676" s="56"/>
      <c r="AN676" s="42"/>
      <c r="AO676" s="42"/>
      <c r="AP676" s="42"/>
      <c r="AQ676" s="340"/>
      <c r="AR676" s="327" t="str">
        <f aca="false">K111&amp;IF(Q111&lt;&gt;""," ("&amp;Q111&amp;")","")</f>
        <v> </v>
      </c>
      <c r="AS676" s="112" t="n">
        <f aca="false">O111</f>
        <v>0</v>
      </c>
      <c r="AT676" s="112" t="n">
        <f aca="true">OFFSET(CostSkill,AS676,0)-OFFSET(CostSkill,N111,0)</f>
        <v>0</v>
      </c>
      <c r="AU676" s="112" t="str">
        <f aca="false">P111</f>
        <v> </v>
      </c>
      <c r="AV676" s="112" t="n">
        <f aca="false">AV675+IF(AND(AR676&lt;&gt;" ",AS676&gt;0),1,0)</f>
        <v>10</v>
      </c>
      <c r="AW676" s="324"/>
      <c r="AX676" s="327" t="str">
        <f aca="false">IF(Discipline2&lt;&gt;"",HLOOKUP(Discipline2,knackfordic,BY631)," ")</f>
        <v>Deathbed</v>
      </c>
      <c r="AY676" s="329" t="n">
        <f aca="false">IF(AX676&lt;&gt;" ",IF(ISERROR(MATCH(AX676,AX$621:AX$639,0)),MATCH(AX676,Talents!G$4:G$210)))</f>
        <v>54</v>
      </c>
      <c r="AZ676" s="329" t="str">
        <f aca="true">IF(AY676,OFFSET(Talents!H$2,Build!AY676,0)," ")</f>
        <v>Lifesight</v>
      </c>
      <c r="BA676" s="112" t="n">
        <f aca="true">IF(AY676,OFFSET(Talents!J$2,Build!AY676,0)," ")</f>
        <v>3</v>
      </c>
      <c r="BB676" s="112" t="n">
        <f aca="true">IF(AY676,OFFSET(Talents!I$2,Build!AY676,0)," ")</f>
        <v>7</v>
      </c>
      <c r="BC676" s="112" t="n">
        <f aca="true">IF(AY676,OFFSET(Talents!K$1,Build!AY676,0)," ")</f>
        <v>2100</v>
      </c>
      <c r="BD676" s="112" t="e">
        <f aca="true">IF(AY676=0,0,IF(ISERROR(MATCH(AZ676,D$616:D$656,0)),OFFSET(E$656,MATCH(AZ676,D$657:D$697,0),0),IF(OFFSET(E$615,MATCH(AZ676,D$616:D$656,0),0)&gt;OFFSET(E$656,MATCH(AZ676,D$657:D$697,0),0),OFFSET(E$615,MATCH(AZ676,D$616:D$656,0),0),OFFSET(E$656,MATCH(AZ676,D$657:D$697,0),0))))</f>
        <v>#N/A</v>
      </c>
      <c r="BE676" s="112" t="n">
        <f aca="false">BE675+IF(ISERROR(BD676), 0, IF(BD676&gt;=BB676, 1, 0))</f>
        <v>21</v>
      </c>
      <c r="BF676" s="324" t="n">
        <f aca="false">IF($BY653&lt;=BF$615,MATCH(BY653,BE$617:BE$681,0))</f>
        <v>0</v>
      </c>
      <c r="BY676" s="333" t="n">
        <f aca="false">BY675+1</f>
        <v>60</v>
      </c>
      <c r="BZ676" s="329" t="n">
        <f aca="false">T246</f>
        <v>0</v>
      </c>
      <c r="CA676" s="112" t="n">
        <f aca="false">W246</f>
        <v>0</v>
      </c>
      <c r="CB676" s="112" t="n">
        <f aca="false">X246</f>
        <v>0</v>
      </c>
      <c r="CC676" s="112" t="s">
        <v>301</v>
      </c>
      <c r="CD676" s="329" t="e">
        <f aca="false">FIND(",",BZ676)</f>
        <v>#VALUE!</v>
      </c>
      <c r="CE676" s="329" t="str">
        <f aca="false">IF(ISERROR(CD676),BZ676,MID(BZ676,CD676+2,20)&amp;" "&amp;LEFT(BZ676,CD676-1))&amp;IF(ISERROR(VALUE(CA676)),"",IF(CA676&gt;1," ("&amp;CA676&amp;")",""))</f>
        <v>0</v>
      </c>
      <c r="CF676" s="329" t="str">
        <f aca="false">IF(CC676=" "," ",IF(ISERROR(VALUE(CA676)),CC676,CA676*CC676))</f>
        <v> </v>
      </c>
      <c r="CG676" s="112" t="n">
        <f aca="false">CG675+IF(AND(BZ676&lt;&gt;0,CA676&lt;&gt;0),1,0)</f>
        <v>6</v>
      </c>
      <c r="CH676" s="112" t="n">
        <f aca="false">IF($BY676&lt;=CH$615,MATCH($BY676,CG$617:CG$863,0))</f>
        <v>0</v>
      </c>
    </row>
    <row r="677" s="32" customFormat="true" ht="12.75" hidden="false" customHeight="false" outlineLevel="0" collapsed="false">
      <c r="B677" s="279" t="n">
        <v>7</v>
      </c>
      <c r="C677" s="67" t="n">
        <f aca="false">AR37</f>
        <v>0</v>
      </c>
      <c r="D677" s="67" t="n">
        <f aca="false">IF(RIGHT(C677, 3)="(D)",LEFT(C677,LEN(C677)-4),C677)</f>
        <v>0</v>
      </c>
      <c r="E677" s="64" t="n">
        <f aca="false">W37</f>
        <v>0</v>
      </c>
      <c r="F677" s="182" t="n">
        <f aca="true">OFFSET(Cost_9_12,E677,0)</f>
        <v>0</v>
      </c>
      <c r="G677" s="64" t="e">
        <f aca="false">IF(C677&lt;&gt;" ",MATCH(D677,Talents!B$3:B$345,1),0)</f>
        <v>#N/A</v>
      </c>
      <c r="H677" s="64" t="e">
        <f aca="true">IF(G677=0," ",OFFSET(Talents!C$2,G677,0))</f>
        <v>#N/A</v>
      </c>
      <c r="I677" s="64" t="n">
        <f aca="false">IF(E677&gt;0,X37,0)</f>
        <v>0</v>
      </c>
      <c r="J677" s="64" t="e">
        <f aca="false">IF(H677&lt;&gt;" ",E677+VLOOKUP(H677,G$597:L$603,6,0)+I677," ")</f>
        <v>#N/A</v>
      </c>
      <c r="K677" s="64" t="e">
        <f aca="true">IF(J677&lt;&gt;" ",OFFSET(ActionDice,J677,0),"-")</f>
        <v>#N/A</v>
      </c>
      <c r="L677" s="67" t="n">
        <f aca="false">OR(RIGHT(C677, 3)="(D)", NOT(ISERROR(MATCH(D677&amp;" (D)", C$657:C$697, 0))))</f>
        <v>0</v>
      </c>
      <c r="M677" s="64" t="e">
        <f aca="true">IF(G677&gt;0,IF(L677,"D",OFFSET(Talents!D$2,G677,0))&amp;OFFSET(Talents!E$2,G677,0)," ")</f>
        <v>#N/A</v>
      </c>
      <c r="N677" s="64" t="n">
        <f aca="false">AND(Z37="",C677&lt;&gt;" ")</f>
        <v>0</v>
      </c>
      <c r="O677" s="300" t="n">
        <f aca="false">O676+IF(N676,1,0)</f>
        <v>18</v>
      </c>
      <c r="P677" s="324" t="n">
        <f aca="false">IF(Build!$BY677&lt;=Build!P$615,MATCH(Build!$BY677,Build!O$617:O$714,0))</f>
        <v>0</v>
      </c>
      <c r="S677" s="112" t="n">
        <f aca="false">S676+IF(E175&lt;&gt;"",1,0)</f>
        <v>3</v>
      </c>
      <c r="T677" s="112"/>
      <c r="U677" s="286" t="n">
        <f aca="false">U676+IF(N393&lt;&gt;"",1,0)</f>
        <v>0</v>
      </c>
      <c r="V677" s="182" t="n">
        <f aca="false">V676+IF(N425&lt;&gt;"",1,0)</f>
        <v>0</v>
      </c>
      <c r="W677" s="182" t="n">
        <f aca="false">W676+IF(N457&lt;&gt;"",1,0)</f>
        <v>0</v>
      </c>
      <c r="X677" s="182" t="n">
        <f aca="false">X676+IF(N489&lt;&gt;"",1,0)</f>
        <v>0</v>
      </c>
      <c r="Y677" s="182" t="n">
        <f aca="false">Y676+IF($N521&lt;&gt;"",1,0)</f>
        <v>0</v>
      </c>
      <c r="Z677" s="182" t="n">
        <f aca="false">Z676+IF($N553&lt;&gt;"",1,0)</f>
        <v>0</v>
      </c>
      <c r="AA677" s="300" t="n">
        <f aca="false">IF($BY677&lt;=U$615,MATCH($BY677,U$617:U$737,0))</f>
        <v>0</v>
      </c>
      <c r="AB677" s="112" t="n">
        <f aca="false">IF($BY677&lt;=V$615,MATCH($BY677,V$617:V$737,0))</f>
        <v>0</v>
      </c>
      <c r="AC677" s="112" t="n">
        <f aca="false">IF($BY677&lt;=W$615,MATCH($BY677,W$617:W$737,0))</f>
        <v>0</v>
      </c>
      <c r="AD677" s="112" t="n">
        <f aca="false">IF($BY677&lt;=X$615,MATCH($BY677,X$617:X$737,0))</f>
        <v>0</v>
      </c>
      <c r="AE677" s="112" t="n">
        <f aca="false">IF($BY677&lt;=Y$615,MATCH($BY677,Y$617:Y$737,0))</f>
        <v>0</v>
      </c>
      <c r="AF677" s="324" t="n">
        <f aca="false">IF($BY677&lt;=Z$615,MATCH($BY677,Z$617:Z$737,0))</f>
        <v>0</v>
      </c>
      <c r="AG677" s="325" t="str">
        <f aca="true">IF(AND(AA677&lt;="",AP70=""),OFFSET(Spells!H$2,AA677,0),"")</f>
        <v>Effect</v>
      </c>
      <c r="AH677" s="325" t="str">
        <f aca="true">IF(AND(AB677&lt;="",AP70=""),OFFSET(Spells!R$2,AB677,0),"")</f>
        <v>Effect</v>
      </c>
      <c r="AI677" s="325" t="str">
        <f aca="true">IF(AND(AC677&lt;="",AP70=""),OFFSET(Spells!AB$2,AC677,0),"")</f>
        <v>Effect</v>
      </c>
      <c r="AJ677" s="326" t="str">
        <f aca="true">IF(AND(AD677&lt;="",AP70=""),OFFSET(Spells!AL$2,AD677,0),"")</f>
        <v>Effect</v>
      </c>
      <c r="AK677" s="326" t="str">
        <f aca="true">IF(AND(AE677&lt;="",AP70=""),OFFSET(Spells!AV$2,AE677,0),"")</f>
        <v>Effect</v>
      </c>
      <c r="AL677" s="325" t="str">
        <f aca="true">IF(AND(AF677&lt;="",AP68=""),OFFSET(Spells!$H$2,AF677,0),"")</f>
        <v>Effect</v>
      </c>
      <c r="AM677" s="56"/>
      <c r="AN677" s="42"/>
      <c r="AO677" s="42"/>
      <c r="AP677" s="42"/>
      <c r="AQ677" s="340"/>
      <c r="AR677" s="327" t="str">
        <f aca="false">T81&amp;IF(Z81&lt;&gt;"","("&amp;Z81&amp;")","")</f>
        <v>Disarm</v>
      </c>
      <c r="AS677" s="112" t="n">
        <f aca="false">X81</f>
        <v>0</v>
      </c>
      <c r="AT677" s="112" t="n">
        <f aca="true">OFFSET(CostSkill,AS677,0)-OFFSET(CostSkill,W81,0)</f>
        <v>0</v>
      </c>
      <c r="AU677" s="112" t="str">
        <f aca="false">Y81</f>
        <v>D</v>
      </c>
      <c r="AV677" s="112" t="n">
        <f aca="false">AV676+IF(AND(AR677&lt;&gt;" ",AS677&gt;0),1,0)</f>
        <v>10</v>
      </c>
      <c r="AW677" s="324"/>
      <c r="AX677" s="327" t="str">
        <f aca="false">IF(Discipline2&lt;&gt;"",HLOOKUP(Discipline2,knackfordic,BY632)," ")</f>
        <v>Deflect Blow</v>
      </c>
      <c r="AY677" s="329" t="n">
        <f aca="false">IF(AX677&lt;&gt;" ",IF(ISERROR(MATCH(AX677,AX$621:AX$639,0)),MATCH(AX677,Talents!G$4:G$210)))</f>
        <v>0</v>
      </c>
      <c r="AZ677" s="329" t="str">
        <f aca="true">IF(AY677,OFFSET(Talents!H$2,Build!AY677,0)," ")</f>
        <v> </v>
      </c>
      <c r="BA677" s="112" t="str">
        <f aca="true">IF(AY677,OFFSET(Talents!J$2,Build!AY677,0)," ")</f>
        <v> </v>
      </c>
      <c r="BB677" s="112" t="str">
        <f aca="true">IF(AY677,OFFSET(Talents!I$2,Build!AY677,0)," ")</f>
        <v> </v>
      </c>
      <c r="BC677" s="112" t="str">
        <f aca="true">IF(AY677,OFFSET(Talents!K$1,Build!AY677,0)," ")</f>
        <v> </v>
      </c>
      <c r="BD677" s="112" t="n">
        <f aca="true">IF(AY677=0,0,IF(ISERROR(MATCH(AZ677,D$616:D$656,0)),OFFSET(E$656,MATCH(AZ677,D$657:D$697,0),0),IF(OFFSET(E$615,MATCH(AZ677,D$616:D$656,0),0)&gt;OFFSET(E$656,MATCH(AZ677,D$657:D$697,0),0),OFFSET(E$615,MATCH(AZ677,D$616:D$656,0),0),OFFSET(E$656,MATCH(AZ677,D$657:D$697,0),0))))</f>
        <v>0</v>
      </c>
      <c r="BE677" s="112" t="n">
        <f aca="false">BE676+IF(ISERROR(BD677), 0, IF(BD677&gt;=BB677, 1, 0))</f>
        <v>21</v>
      </c>
      <c r="BF677" s="324" t="n">
        <f aca="false">IF($BY654&lt;=BF$615,MATCH(BY654,BE$617:BE$681,0))</f>
        <v>0</v>
      </c>
      <c r="BY677" s="333" t="n">
        <f aca="false">BY676+1</f>
        <v>61</v>
      </c>
      <c r="BZ677" s="329" t="n">
        <f aca="false">T247</f>
        <v>0</v>
      </c>
      <c r="CA677" s="112" t="n">
        <f aca="false">W247</f>
        <v>0</v>
      </c>
      <c r="CB677" s="112" t="n">
        <f aca="false">X247</f>
        <v>0</v>
      </c>
      <c r="CC677" s="112" t="s">
        <v>301</v>
      </c>
      <c r="CD677" s="329" t="e">
        <f aca="false">FIND(",",BZ677)</f>
        <v>#VALUE!</v>
      </c>
      <c r="CE677" s="329" t="str">
        <f aca="false">IF(ISERROR(CD677),BZ677,MID(BZ677,CD677+2,20)&amp;" "&amp;LEFT(BZ677,CD677-1))&amp;IF(ISERROR(VALUE(CA677)),"",IF(CA677&gt;1," ("&amp;CA677&amp;")",""))</f>
        <v>0</v>
      </c>
      <c r="CF677" s="329" t="str">
        <f aca="false">IF(CC677=" "," ",IF(ISERROR(VALUE(CA677)),CC677,CA677*CC677))</f>
        <v> </v>
      </c>
      <c r="CG677" s="112" t="n">
        <f aca="false">CG676+IF(AND(BZ677&lt;&gt;0,CA677&lt;&gt;0),1,0)</f>
        <v>6</v>
      </c>
      <c r="CH677" s="112" t="n">
        <f aca="false">IF($BY677&lt;=CH$615,MATCH($BY677,CG$617:CG$863,0))</f>
        <v>0</v>
      </c>
    </row>
    <row r="678" s="32" customFormat="true" ht="12.75" hidden="false" customHeight="false" outlineLevel="0" collapsed="false">
      <c r="B678" s="279" t="n">
        <v>8</v>
      </c>
      <c r="C678" s="67" t="str">
        <f aca="false">IF(AND(Discipline2&lt;&gt;"",Circle2&gt;=$B678),HLOOKUP(Discipline2,talentfordisc,1+BY638,0)," ")</f>
        <v> </v>
      </c>
      <c r="D678" s="67" t="str">
        <f aca="false">IF(RIGHT(C678, 3)="(D)",LEFT(C678,LEN(C678)-4),C678)</f>
        <v> </v>
      </c>
      <c r="E678" s="64" t="n">
        <f aca="false">W38</f>
        <v>0</v>
      </c>
      <c r="F678" s="182" t="n">
        <f aca="true">OFFSET(Cost_9_12,E678,0)</f>
        <v>0</v>
      </c>
      <c r="G678" s="64" t="n">
        <f aca="false">IF(C678&lt;&gt;" ",MATCH(D678,Talents!B$3:B$345,1),0)</f>
        <v>0</v>
      </c>
      <c r="H678" s="64" t="str">
        <f aca="true">IF(G678=0," ",OFFSET(Talents!C$2,G678,0))</f>
        <v> </v>
      </c>
      <c r="I678" s="64" t="n">
        <f aca="false">IF(E678&gt;0,X38,0)</f>
        <v>0</v>
      </c>
      <c r="J678" s="64" t="str">
        <f aca="false">IF(H678&lt;&gt;" ",E678+VLOOKUP(H678,G$597:L$603,6,0)+I678," ")</f>
        <v> </v>
      </c>
      <c r="K678" s="64" t="str">
        <f aca="true">IF(J678&lt;&gt;" ",OFFSET(ActionDice,J678,0),"-")</f>
        <v>-</v>
      </c>
      <c r="L678" s="67" t="n">
        <f aca="false">OR(RIGHT(C678, 3)="(D)", NOT(ISERROR(MATCH(D678&amp;" (D)", C$657:C$697, 0))))</f>
        <v>0</v>
      </c>
      <c r="M678" s="64" t="str">
        <f aca="true">IF(G678&gt;0,IF(L678,"D",OFFSET(Talents!D$2,G678,0))&amp;OFFSET(Talents!E$2,G678,0)," ")</f>
        <v> </v>
      </c>
      <c r="N678" s="64" t="n">
        <f aca="false">AND(Z38="",C678&lt;&gt;" ")</f>
        <v>0</v>
      </c>
      <c r="O678" s="300" t="n">
        <f aca="false">O677+IF(N677,1,0)</f>
        <v>18</v>
      </c>
      <c r="P678" s="324" t="n">
        <f aca="false">IF(Build!$BY678&lt;=Build!P$615,MATCH(Build!$BY678,Build!O$617:O$714,0))</f>
        <v>0</v>
      </c>
      <c r="S678" s="112" t="n">
        <f aca="false">S677+IF(E176&lt;&gt;"",1,0)</f>
        <v>3</v>
      </c>
      <c r="T678" s="112"/>
      <c r="U678" s="300" t="n">
        <f aca="false">U677+IF(N394&lt;&gt;"",1,0)</f>
        <v>0</v>
      </c>
      <c r="V678" s="112" t="n">
        <f aca="false">V677+IF(N426&lt;&gt;"",1,0)</f>
        <v>0</v>
      </c>
      <c r="W678" s="112" t="n">
        <f aca="false">W677+IF(N458&lt;&gt;"",1,0)</f>
        <v>0</v>
      </c>
      <c r="X678" s="112" t="n">
        <f aca="false">X677+IF(N490&lt;&gt;"",1,0)</f>
        <v>0</v>
      </c>
      <c r="Y678" s="112" t="n">
        <f aca="false">Y677+IF(N522&lt;&gt;"",1,0)</f>
        <v>0</v>
      </c>
      <c r="Z678" s="287" t="n">
        <f aca="false">Z677+IF($N554&lt;&gt;"",1,0)</f>
        <v>0</v>
      </c>
      <c r="AA678" s="300" t="n">
        <f aca="false">IF($BY678&lt;=U$615,MATCH($BY678,U$617:U$737,0))</f>
        <v>0</v>
      </c>
      <c r="AB678" s="112" t="n">
        <f aca="false">IF($BY678&lt;=V$615,MATCH($BY678,V$617:V$737,0))</f>
        <v>0</v>
      </c>
      <c r="AC678" s="112" t="n">
        <f aca="false">IF($BY678&lt;=W$615,MATCH($BY678,W$617:W$737,0))</f>
        <v>0</v>
      </c>
      <c r="AD678" s="112" t="n">
        <f aca="false">IF($BY678&lt;=X$615,MATCH($BY678,X$617:X$737,0))</f>
        <v>0</v>
      </c>
      <c r="AE678" s="112" t="n">
        <f aca="false">IF($BY678&lt;=Y$615,MATCH($BY678,Y$617:Y$737,0))</f>
        <v>0</v>
      </c>
      <c r="AF678" s="324" t="n">
        <f aca="false">IF($BY678&lt;=Z$615,MATCH($BY678,Z$617:Z$737,0))</f>
        <v>0</v>
      </c>
      <c r="AG678" s="325" t="str">
        <f aca="true">IF(AND(AA678&lt;="",AP71=""),OFFSET(Spells!H$2,AA678,0),"")</f>
        <v>Effect</v>
      </c>
      <c r="AH678" s="325" t="str">
        <f aca="true">IF(AND(AB678&lt;="",AP71=""),OFFSET(Spells!R$2,AB678,0),"")</f>
        <v>Effect</v>
      </c>
      <c r="AI678" s="325" t="str">
        <f aca="true">IF(AND(AC678&lt;="",AP71=""),OFFSET(Spells!AB$2,AC678,0),"")</f>
        <v>Effect</v>
      </c>
      <c r="AJ678" s="326" t="str">
        <f aca="true">IF(AND(AD678&lt;="",AP71=""),OFFSET(Spells!AL$2,AD678,0),"")</f>
        <v>Effect</v>
      </c>
      <c r="AK678" s="326" t="str">
        <f aca="true">IF(AND(AE678&lt;="",AP71=""),OFFSET(Spells!AV$2,AE678,0),"")</f>
        <v>Effect</v>
      </c>
      <c r="AL678" s="325" t="str">
        <f aca="true">IF(AND(AF678&lt;="",AP69=""),OFFSET(Spells!$H$2,AF678,0),"")</f>
        <v>Effect</v>
      </c>
      <c r="AM678" s="56"/>
      <c r="AN678" s="42"/>
      <c r="AO678" s="42"/>
      <c r="AP678" s="42"/>
      <c r="AQ678" s="340"/>
      <c r="AR678" s="327" t="str">
        <f aca="false">T82&amp;IF(Z82&lt;&gt;"","("&amp;Z82&amp;")","")</f>
        <v>Disarm Trap</v>
      </c>
      <c r="AS678" s="112" t="n">
        <f aca="false">X82</f>
        <v>0</v>
      </c>
      <c r="AT678" s="112" t="n">
        <f aca="true">OFFSET(CostSkill,AS678,0)-OFFSET(CostSkill,W82,0)</f>
        <v>0</v>
      </c>
      <c r="AU678" s="112" t="str">
        <f aca="false">Y82</f>
        <v>D</v>
      </c>
      <c r="AV678" s="112" t="n">
        <f aca="false">AV677+IF(AND(AR678&lt;&gt;" ",AS678&gt;0),1,0)</f>
        <v>10</v>
      </c>
      <c r="AW678" s="324"/>
      <c r="AX678" s="327" t="str">
        <f aca="false">IF(Discipline2&lt;&gt;"",HLOOKUP(Discipline2,knackfordic,BY633)," ")</f>
        <v>Fake Thought</v>
      </c>
      <c r="AY678" s="329" t="n">
        <f aca="false">IF(AX678&lt;&gt;" ",IF(ISERROR(MATCH(AX678,AX$621:AX$639,0)),MATCH(AX678,Talents!G$4:G$210)))</f>
        <v>67</v>
      </c>
      <c r="AZ678" s="329" t="str">
        <f aca="true">IF(AY678,OFFSET(Talents!H$2,Build!AY678,0)," ")</f>
        <v>Long Shot</v>
      </c>
      <c r="BA678" s="112" t="n">
        <f aca="true">IF(AY678,OFFSET(Talents!J$2,Build!AY678,0)," ")</f>
        <v>3</v>
      </c>
      <c r="BB678" s="112" t="n">
        <f aca="true">IF(AY678,OFFSET(Talents!I$2,Build!AY678,0)," ")</f>
        <v>8</v>
      </c>
      <c r="BC678" s="112" t="n">
        <f aca="true">IF(AY678,OFFSET(Talents!K$1,Build!AY678,0)," ")</f>
        <v>3400</v>
      </c>
      <c r="BD678" s="112" t="e">
        <f aca="true">IF(AY678=0,0,IF(ISERROR(MATCH(AZ678,D$616:D$656,0)),OFFSET(E$656,MATCH(AZ678,D$657:D$697,0),0),IF(OFFSET(E$615,MATCH(AZ678,D$616:D$656,0),0)&gt;OFFSET(E$656,MATCH(AZ678,D$657:D$697,0),0),OFFSET(E$615,MATCH(AZ678,D$616:D$656,0),0),OFFSET(E$656,MATCH(AZ678,D$657:D$697,0),0))))</f>
        <v>#N/A</v>
      </c>
      <c r="BE678" s="112" t="n">
        <f aca="false">BE677+IF(ISERROR(BD678), 0, IF(BD678&gt;=BB678, 1, 0))</f>
        <v>21</v>
      </c>
      <c r="BF678" s="324" t="n">
        <f aca="false">IF($BY655&lt;=BF$615,MATCH(BY655,BE$617:BE$681,0))</f>
        <v>0</v>
      </c>
      <c r="BY678" s="333" t="n">
        <f aca="false">BY677+1</f>
        <v>62</v>
      </c>
      <c r="BZ678" s="329" t="n">
        <f aca="false">T248</f>
        <v>0</v>
      </c>
      <c r="CA678" s="112" t="n">
        <f aca="false">W248</f>
        <v>0</v>
      </c>
      <c r="CB678" s="112" t="n">
        <f aca="false">X248</f>
        <v>0</v>
      </c>
      <c r="CC678" s="112" t="s">
        <v>301</v>
      </c>
      <c r="CD678" s="329" t="e">
        <f aca="false">FIND(",",BZ678)</f>
        <v>#VALUE!</v>
      </c>
      <c r="CE678" s="329" t="str">
        <f aca="false">IF(ISERROR(CD678),BZ678,MID(BZ678,CD678+2,20)&amp;" "&amp;LEFT(BZ678,CD678-1))&amp;IF(ISERROR(VALUE(CA678)),"",IF(CA678&gt;1," ("&amp;CA678&amp;")",""))</f>
        <v>0</v>
      </c>
      <c r="CF678" s="329" t="str">
        <f aca="false">IF(CC678=" "," ",IF(ISERROR(VALUE(CA678)),CC678,CA678*CC678))</f>
        <v> </v>
      </c>
      <c r="CG678" s="112" t="n">
        <f aca="false">CG677+IF(AND(BZ678&lt;&gt;0,CA678&lt;&gt;0),1,0)</f>
        <v>6</v>
      </c>
      <c r="CH678" s="112" t="n">
        <f aca="false">IF($BY678&lt;=CH$615,MATCH($BY678,CG$617:CG$863,0))</f>
        <v>0</v>
      </c>
    </row>
    <row r="679" s="32" customFormat="true" ht="12.75" hidden="false" customHeight="false" outlineLevel="0" collapsed="false">
      <c r="B679" s="279" t="n">
        <v>8</v>
      </c>
      <c r="C679" s="67" t="n">
        <f aca="false">AR39</f>
        <v>0</v>
      </c>
      <c r="D679" s="67" t="n">
        <f aca="false">IF(RIGHT(C679, 3)="(D)",LEFT(C679,LEN(C679)-4),C679)</f>
        <v>0</v>
      </c>
      <c r="E679" s="64" t="n">
        <f aca="false">W39</f>
        <v>0</v>
      </c>
      <c r="F679" s="182" t="n">
        <f aca="true">OFFSET(Cost_9_12,E679,0)</f>
        <v>0</v>
      </c>
      <c r="G679" s="64" t="e">
        <f aca="false">IF(C679&lt;&gt;" ",MATCH(D679,Talents!B$3:B$345,1),0)</f>
        <v>#N/A</v>
      </c>
      <c r="H679" s="64" t="e">
        <f aca="true">IF(G679=0," ",OFFSET(Talents!C$2,G679,0))</f>
        <v>#N/A</v>
      </c>
      <c r="I679" s="64" t="n">
        <f aca="false">IF(E679&gt;0,X39,0)</f>
        <v>0</v>
      </c>
      <c r="J679" s="64" t="e">
        <f aca="false">IF(H679&lt;&gt;" ",E679+VLOOKUP(H679,G$597:L$603,6,0)+I679," ")</f>
        <v>#N/A</v>
      </c>
      <c r="K679" s="64" t="e">
        <f aca="true">IF(J679&lt;&gt;" ",OFFSET(ActionDice,J679,0),"-")</f>
        <v>#N/A</v>
      </c>
      <c r="L679" s="67" t="n">
        <f aca="false">OR(RIGHT(C679, 3)="(D)", NOT(ISERROR(MATCH(D679&amp;" (D)", C$657:C$697, 0))))</f>
        <v>0</v>
      </c>
      <c r="M679" s="64" t="e">
        <f aca="true">IF(G679&gt;0,IF(L679,"D",OFFSET(Talents!D$2,G679,0))&amp;OFFSET(Talents!E$2,G679,0)," ")</f>
        <v>#N/A</v>
      </c>
      <c r="N679" s="64" t="n">
        <f aca="false">AND(Z39="",C679&lt;&gt;" ")</f>
        <v>0</v>
      </c>
      <c r="O679" s="300" t="n">
        <f aca="false">O678+IF(N678,1,0)</f>
        <v>18</v>
      </c>
      <c r="P679" s="324" t="n">
        <f aca="false">IF(Build!$BY679&lt;=Build!P$615,MATCH(Build!$BY679,Build!O$617:O$714,0))</f>
        <v>0</v>
      </c>
      <c r="S679" s="112" t="n">
        <f aca="false">S678+IF(E177&lt;&gt;"",1,0)</f>
        <v>3</v>
      </c>
      <c r="T679" s="112"/>
      <c r="U679" s="300" t="n">
        <f aca="false">U678+IF(N395&lt;&gt;"",1,0)</f>
        <v>0</v>
      </c>
      <c r="V679" s="112" t="n">
        <f aca="false">V678+IF(N427&lt;&gt;"",1,0)</f>
        <v>0</v>
      </c>
      <c r="W679" s="112" t="n">
        <f aca="false">W678+IF(N459&lt;&gt;"",1,0)</f>
        <v>0</v>
      </c>
      <c r="X679" s="112" t="n">
        <f aca="false">X678+IF(N491&lt;&gt;"",1,0)</f>
        <v>0</v>
      </c>
      <c r="Y679" s="112" t="n">
        <f aca="false">Y678+IF(N523&lt;&gt;"",1,0)</f>
        <v>0</v>
      </c>
      <c r="Z679" s="324" t="n">
        <f aca="false">Z678+IF($N555&lt;&gt;"",1,0)</f>
        <v>0</v>
      </c>
      <c r="AA679" s="300" t="n">
        <f aca="false">IF($BY679&lt;=U$615,MATCH($BY679,U$617:U$737,0))</f>
        <v>0</v>
      </c>
      <c r="AB679" s="112" t="n">
        <f aca="false">IF($BY679&lt;=V$615,MATCH($BY679,V$617:V$737,0))</f>
        <v>0</v>
      </c>
      <c r="AC679" s="112" t="n">
        <f aca="false">IF($BY679&lt;=W$615,MATCH($BY679,W$617:W$737,0))</f>
        <v>0</v>
      </c>
      <c r="AD679" s="112" t="n">
        <f aca="false">IF($BY679&lt;=X$615,MATCH($BY679,X$617:X$737,0))</f>
        <v>0</v>
      </c>
      <c r="AE679" s="112" t="n">
        <f aca="false">IF($BY679&lt;=Y$615,MATCH($BY679,Y$617:Y$737,0))</f>
        <v>0</v>
      </c>
      <c r="AF679" s="324" t="n">
        <f aca="false">IF($BY679&lt;=Z$615,MATCH($BY679,Z$617:Z$737,0))</f>
        <v>0</v>
      </c>
      <c r="AG679" s="325" t="str">
        <f aca="true">IF(AND(AA679&lt;="",AP72=""),OFFSET(Spells!H$2,AA679,0),"")</f>
        <v>Effect</v>
      </c>
      <c r="AH679" s="325" t="str">
        <f aca="true">IF(AND(AB679&lt;="",AP72=""),OFFSET(Spells!R$2,AB679,0),"")</f>
        <v>Effect</v>
      </c>
      <c r="AI679" s="325" t="str">
        <f aca="true">IF(AND(AC679&lt;="",AP72=""),OFFSET(Spells!AB$2,AC679,0),"")</f>
        <v>Effect</v>
      </c>
      <c r="AJ679" s="326" t="str">
        <f aca="true">IF(AND(AD679&lt;="",AP72=""),OFFSET(Spells!AL$2,AD679,0),"")</f>
        <v>Effect</v>
      </c>
      <c r="AK679" s="326" t="str">
        <f aca="true">IF(AND(AE679&lt;="",AP72=""),OFFSET(Spells!AV$2,AE679,0),"")</f>
        <v>Effect</v>
      </c>
      <c r="AL679" s="325" t="str">
        <f aca="true">IF(AND(AF679&lt;="",AP70=""),OFFSET(Spells!$H$2,AF679,0),"")</f>
        <v>Effect</v>
      </c>
      <c r="AM679" s="56"/>
      <c r="AN679" s="42"/>
      <c r="AO679" s="42"/>
      <c r="AP679" s="42"/>
      <c r="AQ679" s="340"/>
      <c r="AR679" s="327" t="str">
        <f aca="false">T83&amp;IF(Z83&lt;&gt;"","("&amp;Z83&amp;")","")</f>
        <v>Disguise</v>
      </c>
      <c r="AS679" s="112" t="n">
        <f aca="false">X83</f>
        <v>0</v>
      </c>
      <c r="AT679" s="112" t="n">
        <f aca="true">OFFSET(CostSkill,AS679,0)-OFFSET(CostSkill,W83,0)</f>
        <v>0</v>
      </c>
      <c r="AU679" s="112" t="str">
        <f aca="false">Y83</f>
        <v>P</v>
      </c>
      <c r="AV679" s="112" t="n">
        <f aca="false">AV678+IF(AND(AR679&lt;&gt;" ",AS679&gt;0),1,0)</f>
        <v>10</v>
      </c>
      <c r="AW679" s="324"/>
      <c r="AX679" s="327" t="str">
        <f aca="false">IF(Discipline2&lt;&gt;"",HLOOKUP(Discipline2,knackfordic,BY634)," ")</f>
        <v>Faulty Goods</v>
      </c>
      <c r="AY679" s="329" t="n">
        <f aca="false">IF(AX679&lt;&gt;" ",IF(ISERROR(MATCH(AX679,AX$621:AX$639,0)),MATCH(AX679,Talents!G$4:G$210)))</f>
        <v>73</v>
      </c>
      <c r="AZ679" s="329" t="str">
        <f aca="true">IF(AY679,OFFSET(Talents!H$2,Build!AY679,0)," ")</f>
        <v>Warp Missile</v>
      </c>
      <c r="BA679" s="112" t="n">
        <f aca="true">IF(AY679,OFFSET(Talents!J$2,Build!AY679,0)," ")</f>
        <v>4</v>
      </c>
      <c r="BB679" s="112" t="n">
        <f aca="true">IF(AY679,OFFSET(Talents!I$2,Build!AY679,0)," ")</f>
        <v>7</v>
      </c>
      <c r="BC679" s="112" t="n">
        <f aca="true">IF(AY679,OFFSET(Talents!K$1,Build!AY679,0)," ")</f>
        <v>1300</v>
      </c>
      <c r="BD679" s="112" t="e">
        <f aca="true">IF(AY679=0,0,IF(ISERROR(MATCH(AZ679,D$616:D$656,0)),OFFSET(E$656,MATCH(AZ679,D$657:D$697,0),0),IF(OFFSET(E$615,MATCH(AZ679,D$616:D$656,0),0)&gt;OFFSET(E$656,MATCH(AZ679,D$657:D$697,0),0),OFFSET(E$615,MATCH(AZ679,D$616:D$656,0),0),OFFSET(E$656,MATCH(AZ679,D$657:D$697,0),0))))</f>
        <v>#N/A</v>
      </c>
      <c r="BE679" s="112" t="n">
        <f aca="false">BE678+IF(ISERROR(BD679), 0, IF(BD679&gt;=BB679, 1, 0))</f>
        <v>21</v>
      </c>
      <c r="BF679" s="324" t="n">
        <f aca="false">IF($BY656&lt;=BF$615,MATCH(BY656,BE$617:BE$681,0))</f>
        <v>0</v>
      </c>
      <c r="BY679" s="333" t="n">
        <f aca="false">BY678+1</f>
        <v>63</v>
      </c>
      <c r="BZ679" s="329" t="n">
        <f aca="false">T249</f>
        <v>0</v>
      </c>
      <c r="CA679" s="112" t="n">
        <f aca="false">W249</f>
        <v>0</v>
      </c>
      <c r="CB679" s="112" t="n">
        <f aca="false">X249</f>
        <v>0</v>
      </c>
      <c r="CC679" s="112" t="s">
        <v>301</v>
      </c>
      <c r="CD679" s="329" t="e">
        <f aca="false">FIND(",",BZ679)</f>
        <v>#VALUE!</v>
      </c>
      <c r="CE679" s="329" t="str">
        <f aca="false">IF(ISERROR(CD679),BZ679,MID(BZ679,CD679+2,20)&amp;" "&amp;LEFT(BZ679,CD679-1))&amp;IF(ISERROR(VALUE(CA679)),"",IF(CA679&gt;1," ("&amp;CA679&amp;")",""))</f>
        <v>0</v>
      </c>
      <c r="CF679" s="329" t="str">
        <f aca="false">IF(CC679=" "," ",IF(ISERROR(VALUE(CA679)),CC679,CA679*CC679))</f>
        <v> </v>
      </c>
      <c r="CG679" s="112" t="n">
        <f aca="false">CG678+IF(AND(BZ679&lt;&gt;0,CA679&lt;&gt;0),1,0)</f>
        <v>6</v>
      </c>
      <c r="CH679" s="112" t="n">
        <f aca="false">IF($BY679&lt;=CH$615,MATCH($BY679,CG$617:CG$863,0))</f>
        <v>0</v>
      </c>
    </row>
    <row r="680" s="32" customFormat="true" ht="12.75" hidden="false" customHeight="false" outlineLevel="0" collapsed="false">
      <c r="B680" s="279" t="n">
        <v>8</v>
      </c>
      <c r="C680" s="67" t="n">
        <f aca="false">AR40</f>
        <v>0</v>
      </c>
      <c r="D680" s="67" t="n">
        <f aca="false">IF(RIGHT(C680, 3)="(D)",LEFT(C680,LEN(C680)-4),C680)</f>
        <v>0</v>
      </c>
      <c r="E680" s="64" t="n">
        <f aca="false">W40</f>
        <v>0</v>
      </c>
      <c r="F680" s="182" t="n">
        <f aca="true">OFFSET(Cost_9_12,E680,0)</f>
        <v>0</v>
      </c>
      <c r="G680" s="64" t="e">
        <f aca="false">IF(C680&lt;&gt;" ",MATCH(D680,Talents!B$3:B$345,1),0)</f>
        <v>#N/A</v>
      </c>
      <c r="H680" s="64" t="e">
        <f aca="true">IF(G680=0," ",OFFSET(Talents!C$2,G680,0))</f>
        <v>#N/A</v>
      </c>
      <c r="I680" s="64" t="n">
        <f aca="false">IF(E680&gt;0,X40,0)</f>
        <v>0</v>
      </c>
      <c r="J680" s="64" t="e">
        <f aca="false">IF(H680&lt;&gt;" ",E680+VLOOKUP(H680,G$597:L$603,6,0)+I680," ")</f>
        <v>#N/A</v>
      </c>
      <c r="K680" s="64" t="e">
        <f aca="true">IF(J680&lt;&gt;" ",OFFSET(ActionDice,J680,0),"-")</f>
        <v>#N/A</v>
      </c>
      <c r="L680" s="67" t="n">
        <f aca="false">OR(RIGHT(C680, 3)="(D)", NOT(ISERROR(MATCH(D680&amp;" (D)", C$657:C$697, 0))))</f>
        <v>0</v>
      </c>
      <c r="M680" s="64" t="e">
        <f aca="true">IF(G680&gt;0,IF(L680,"D",OFFSET(Talents!D$2,G680,0))&amp;OFFSET(Talents!E$2,G680,0)," ")</f>
        <v>#N/A</v>
      </c>
      <c r="N680" s="64" t="n">
        <f aca="false">AND(Z40="",C680&lt;&gt;" ")</f>
        <v>0</v>
      </c>
      <c r="O680" s="300" t="n">
        <f aca="false">O679+IF(N679,1,0)</f>
        <v>18</v>
      </c>
      <c r="P680" s="324" t="n">
        <f aca="false">IF(Build!$BY680&lt;=Build!P$615,MATCH(Build!$BY680,Build!O$617:O$714,0))</f>
        <v>0</v>
      </c>
      <c r="S680" s="112" t="n">
        <f aca="false">S679+IF(E178&lt;&gt;"",1,0)</f>
        <v>3</v>
      </c>
      <c r="T680" s="112"/>
      <c r="U680" s="300" t="n">
        <f aca="false">U679+IF(N396&lt;&gt;"",1,0)</f>
        <v>0</v>
      </c>
      <c r="V680" s="112" t="n">
        <f aca="false">V679+IF(N428&lt;&gt;"",1,0)</f>
        <v>0</v>
      </c>
      <c r="W680" s="112" t="n">
        <f aca="false">W679+IF(N460&lt;&gt;"",1,0)</f>
        <v>0</v>
      </c>
      <c r="X680" s="112" t="n">
        <f aca="false">X679+IF(N492&lt;&gt;"",1,0)</f>
        <v>0</v>
      </c>
      <c r="Y680" s="112" t="n">
        <f aca="false">Y679+IF(N524&lt;&gt;"",1,0)</f>
        <v>0</v>
      </c>
      <c r="Z680" s="324" t="n">
        <f aca="false">Z679+IF($N556&lt;&gt;"",1,0)</f>
        <v>0</v>
      </c>
      <c r="AA680" s="300" t="n">
        <f aca="false">IF($BY680&lt;=U$615,MATCH($BY680,U$617:U$737,0))</f>
        <v>0</v>
      </c>
      <c r="AB680" s="112" t="n">
        <f aca="false">IF($BY680&lt;=V$615,MATCH($BY680,V$617:V$737,0))</f>
        <v>0</v>
      </c>
      <c r="AC680" s="112" t="n">
        <f aca="false">IF($BY680&lt;=W$615,MATCH($BY680,W$617:W$737,0))</f>
        <v>0</v>
      </c>
      <c r="AD680" s="112" t="n">
        <f aca="false">IF($BY680&lt;=X$615,MATCH($BY680,X$617:X$737,0))</f>
        <v>0</v>
      </c>
      <c r="AE680" s="112" t="n">
        <f aca="false">IF($BY680&lt;=Y$615,MATCH($BY680,Y$617:Y$737,0))</f>
        <v>0</v>
      </c>
      <c r="AF680" s="324" t="n">
        <f aca="false">IF($BY680&lt;=Z$615,MATCH($BY680,Z$617:Z$737,0))</f>
        <v>0</v>
      </c>
      <c r="AG680" s="325" t="str">
        <f aca="true">IF(AND(AA680&lt;="",AP73=""),OFFSET(Spells!H$2,AA680,0),"")</f>
        <v>Effect</v>
      </c>
      <c r="AH680" s="325" t="str">
        <f aca="true">IF(AND(AB680&lt;="",AP73=""),OFFSET(Spells!R$2,AB680,0),"")</f>
        <v>Effect</v>
      </c>
      <c r="AI680" s="325" t="str">
        <f aca="true">IF(AND(AC680&lt;="",AP73=""),OFFSET(Spells!AB$2,AC680,0),"")</f>
        <v>Effect</v>
      </c>
      <c r="AJ680" s="326" t="str">
        <f aca="true">IF(AND(AD680&lt;="",AP73=""),OFFSET(Spells!AL$2,AD680,0),"")</f>
        <v>Effect</v>
      </c>
      <c r="AK680" s="326" t="str">
        <f aca="true">IF(AND(AE680&lt;="",AP73=""),OFFSET(Spells!AV$2,AE680,0),"")</f>
        <v>Effect</v>
      </c>
      <c r="AL680" s="325" t="str">
        <f aca="true">IF(AND(AF680&lt;="",AP71=""),OFFSET(Spells!$H$2,AF680,0),"")</f>
        <v>Effect</v>
      </c>
      <c r="AM680" s="56"/>
      <c r="AN680" s="42"/>
      <c r="AO680" s="42"/>
      <c r="AP680" s="42"/>
      <c r="AQ680" s="340"/>
      <c r="AR680" s="327" t="str">
        <f aca="false">T84&amp;IF(Z84&lt;&gt;"","("&amp;Z84&amp;")","")</f>
        <v>Distract</v>
      </c>
      <c r="AS680" s="112" t="n">
        <f aca="false">X84</f>
        <v>0</v>
      </c>
      <c r="AT680" s="112" t="n">
        <f aca="true">OFFSET(CostSkill,AS680,0)-OFFSET(CostSkill,W84,0)</f>
        <v>0</v>
      </c>
      <c r="AU680" s="112" t="str">
        <f aca="false">Y84</f>
        <v>C</v>
      </c>
      <c r="AV680" s="112" t="n">
        <f aca="false">AV679+IF(AND(AR680&lt;&gt;" ",AS680&gt;0),1,0)</f>
        <v>10</v>
      </c>
      <c r="AW680" s="324"/>
      <c r="AX680" s="327" t="str">
        <f aca="false">IF(Discipline2&lt;&gt;"",HLOOKUP(Discipline2,knackfordic,BY635)," ")</f>
        <v>Feign Hit</v>
      </c>
      <c r="AY680" s="329" t="n">
        <f aca="false">IF(AX680&lt;&gt;" ",IF(ISERROR(MATCH(AX680,AX$621:AX$639,0)),MATCH(AX680,Talents!G$4:G$210)))</f>
        <v>0</v>
      </c>
      <c r="AZ680" s="329" t="str">
        <f aca="true">IF(AY680,OFFSET(Talents!H$2,Build!AY680,0)," ")</f>
        <v> </v>
      </c>
      <c r="BA680" s="112" t="str">
        <f aca="true">IF(AY680,OFFSET(Talents!J$2,Build!AY680,0)," ")</f>
        <v> </v>
      </c>
      <c r="BB680" s="112" t="str">
        <f aca="true">IF(AY680,OFFSET(Talents!I$2,Build!AY680,0)," ")</f>
        <v> </v>
      </c>
      <c r="BC680" s="112" t="str">
        <f aca="true">IF(AY680,OFFSET(Talents!K$1,Build!AY680,0)," ")</f>
        <v> </v>
      </c>
      <c r="BD680" s="112" t="n">
        <f aca="true">IF(AY680=0,0,IF(ISERROR(MATCH(AZ680,D$616:D$656,0)),OFFSET(E$656,MATCH(AZ680,D$657:D$697,0),0),IF(OFFSET(E$615,MATCH(AZ680,D$616:D$656,0),0)&gt;OFFSET(E$656,MATCH(AZ680,D$657:D$697,0),0),OFFSET(E$615,MATCH(AZ680,D$616:D$656,0),0),OFFSET(E$656,MATCH(AZ680,D$657:D$697,0),0))))</f>
        <v>0</v>
      </c>
      <c r="BE680" s="112" t="n">
        <f aca="false">BE679+IF(ISERROR(BD680), 0, IF(BD680&gt;=BB680, 1, 0))</f>
        <v>21</v>
      </c>
      <c r="BF680" s="324" t="n">
        <f aca="false">IF($BY657&lt;=BF$615,MATCH(BY657,BE$617:BE$681,0))</f>
        <v>0</v>
      </c>
      <c r="BY680" s="333" t="n">
        <f aca="false">BY679+1</f>
        <v>64</v>
      </c>
      <c r="BZ680" s="329" t="n">
        <f aca="false">T250</f>
        <v>0</v>
      </c>
      <c r="CA680" s="112" t="n">
        <f aca="false">W250</f>
        <v>0</v>
      </c>
      <c r="CB680" s="112" t="n">
        <f aca="false">X250</f>
        <v>0</v>
      </c>
      <c r="CC680" s="112" t="s">
        <v>301</v>
      </c>
      <c r="CD680" s="329" t="e">
        <f aca="false">FIND(",",BZ680)</f>
        <v>#VALUE!</v>
      </c>
      <c r="CE680" s="329" t="str">
        <f aca="false">IF(ISERROR(CD680),BZ680,MID(BZ680,CD680+2,20)&amp;" "&amp;LEFT(BZ680,CD680-1))&amp;IF(ISERROR(VALUE(CA680)),"",IF(CA680&gt;1," ("&amp;CA680&amp;")",""))</f>
        <v>0</v>
      </c>
      <c r="CF680" s="329" t="str">
        <f aca="false">IF(CC680=" "," ",IF(ISERROR(VALUE(CA680)),CC680,CA680*CC680))</f>
        <v> </v>
      </c>
      <c r="CG680" s="112" t="n">
        <f aca="false">CG679+IF(AND(BZ680&lt;&gt;0,CA680&lt;&gt;0),1,0)</f>
        <v>6</v>
      </c>
      <c r="CH680" s="112" t="n">
        <f aca="false">IF($BY680&lt;=CH$615,MATCH($BY680,CG$617:CG$863,0))</f>
        <v>0</v>
      </c>
    </row>
    <row r="681" s="32" customFormat="true" ht="12.75" hidden="false" customHeight="false" outlineLevel="0" collapsed="false">
      <c r="B681" s="279" t="n">
        <v>9</v>
      </c>
      <c r="C681" s="67" t="str">
        <f aca="false">IF(AND(Discipline2&lt;&gt;"",Circle2&gt;=$B681),HLOOKUP(Discipline2,talentfordisc,1+BY641,0)," ")</f>
        <v> </v>
      </c>
      <c r="D681" s="67" t="str">
        <f aca="false">IF(RIGHT(C681, 3)="(D)",LEFT(C681,LEN(C681)-4),C681)</f>
        <v> </v>
      </c>
      <c r="E681" s="64" t="n">
        <f aca="false">W41</f>
        <v>0</v>
      </c>
      <c r="F681" s="182" t="n">
        <f aca="true">OFFSET(Cost_13_15,E681,0)</f>
        <v>0</v>
      </c>
      <c r="G681" s="64" t="n">
        <f aca="false">IF(C681&lt;&gt;" ",MATCH(D681,Talents!B$3:B$345,1),0)</f>
        <v>0</v>
      </c>
      <c r="H681" s="64" t="str">
        <f aca="true">IF(G681=0," ",OFFSET(Talents!C$2,G681,0))</f>
        <v> </v>
      </c>
      <c r="I681" s="64" t="n">
        <f aca="false">IF(E681&gt;0,X41,0)</f>
        <v>0</v>
      </c>
      <c r="J681" s="64" t="str">
        <f aca="false">IF(H681&lt;&gt;" ",E681+VLOOKUP(H681,G$597:L$603,6,0)+I681," ")</f>
        <v> </v>
      </c>
      <c r="K681" s="64" t="str">
        <f aca="true">IF(J681&lt;&gt;" ",OFFSET(ActionDice,J681,0),"-")</f>
        <v>-</v>
      </c>
      <c r="L681" s="67" t="n">
        <f aca="false">OR(RIGHT(C681, 3)="(D)", NOT(ISERROR(MATCH(D681&amp;" (D)", C$657:C$697, 0))))</f>
        <v>0</v>
      </c>
      <c r="M681" s="64" t="str">
        <f aca="true">IF(G681&gt;0,IF(L681,"D",OFFSET(Talents!D$2,G681,0))&amp;OFFSET(Talents!E$2,G681,0)," ")</f>
        <v> </v>
      </c>
      <c r="N681" s="64" t="n">
        <f aca="false">AND(Z41="",C681&lt;&gt;" ")</f>
        <v>0</v>
      </c>
      <c r="O681" s="300" t="n">
        <f aca="false">O680+IF(N680,1,0)</f>
        <v>18</v>
      </c>
      <c r="P681" s="324" t="n">
        <f aca="false">IF(Build!$BY681&lt;=Build!P$615,MATCH(Build!$BY681,Build!O$617:O$714,0))</f>
        <v>0</v>
      </c>
      <c r="S681" s="112" t="n">
        <f aca="false">S680+IF(E179&lt;&gt;"",1,0)</f>
        <v>3</v>
      </c>
      <c r="T681" s="112"/>
      <c r="U681" s="300" t="n">
        <f aca="false">U680+IF(N397&lt;&gt;"",1,0)</f>
        <v>0</v>
      </c>
      <c r="V681" s="112" t="n">
        <f aca="false">V680+IF(N429&lt;&gt;"",1,0)</f>
        <v>0</v>
      </c>
      <c r="W681" s="112" t="n">
        <f aca="false">W680+IF(N461&lt;&gt;"",1,0)</f>
        <v>0</v>
      </c>
      <c r="X681" s="112" t="n">
        <f aca="false">X680+IF(N493&lt;&gt;"",1,0)</f>
        <v>0</v>
      </c>
      <c r="Y681" s="112" t="n">
        <f aca="false">Y680+IF(N525&lt;&gt;"",1,0)</f>
        <v>0</v>
      </c>
      <c r="Z681" s="324" t="n">
        <f aca="false">Z680+IF($N557&lt;&gt;"",1,0)</f>
        <v>0</v>
      </c>
      <c r="AA681" s="300" t="n">
        <f aca="false">IF($BY681&lt;=U$615,MATCH($BY681,U$617:U$737,0))</f>
        <v>0</v>
      </c>
      <c r="AB681" s="112" t="n">
        <f aca="false">IF($BY681&lt;=V$615,MATCH($BY681,V$617:V$737,0))</f>
        <v>0</v>
      </c>
      <c r="AC681" s="112" t="n">
        <f aca="false">IF($BY681&lt;=W$615,MATCH($BY681,W$617:W$737,0))</f>
        <v>0</v>
      </c>
      <c r="AD681" s="112" t="n">
        <f aca="false">IF($BY681&lt;=X$615,MATCH($BY681,X$617:X$737,0))</f>
        <v>0</v>
      </c>
      <c r="AE681" s="112" t="n">
        <f aca="false">IF($BY681&lt;=Y$615,MATCH($BY681,Y$617:Y$737,0))</f>
        <v>0</v>
      </c>
      <c r="AF681" s="324" t="n">
        <f aca="false">IF($BY681&lt;=Z$615,MATCH($BY681,Z$617:Z$737,0))</f>
        <v>0</v>
      </c>
      <c r="AG681" s="325" t="str">
        <f aca="true">IF(AND(AA681&lt;="",AP74=""),OFFSET(Spells!H$2,AA681,0),"")</f>
        <v>Effect</v>
      </c>
      <c r="AH681" s="325" t="str">
        <f aca="true">IF(AND(AB681&lt;="",AP74=""),OFFSET(Spells!R$2,AB681,0),"")</f>
        <v>Effect</v>
      </c>
      <c r="AI681" s="325" t="str">
        <f aca="true">IF(AND(AC681&lt;="",AP74=""),OFFSET(Spells!AB$2,AC681,0),"")</f>
        <v>Effect</v>
      </c>
      <c r="AJ681" s="326" t="str">
        <f aca="true">IF(AND(AD681&lt;="",AP74=""),OFFSET(Spells!AL$2,AD681,0),"")</f>
        <v>Effect</v>
      </c>
      <c r="AK681" s="326" t="str">
        <f aca="true">IF(AND(AE681&lt;="",AP74=""),OFFSET(Spells!AV$2,AE681,0),"")</f>
        <v>Effect</v>
      </c>
      <c r="AL681" s="325" t="str">
        <f aca="true">IF(AND(AF681&lt;="",AP72=""),OFFSET(Spells!$H$2,AF681,0),"")</f>
        <v>Effect</v>
      </c>
      <c r="AM681" s="56"/>
      <c r="AN681" s="42"/>
      <c r="AO681" s="42"/>
      <c r="AP681" s="42"/>
      <c r="AQ681" s="340"/>
      <c r="AR681" s="327" t="str">
        <f aca="false">T85&amp;IF(Z85&lt;&gt;"","("&amp;Z85&amp;")","")</f>
        <v>Down Strike</v>
      </c>
      <c r="AS681" s="112" t="n">
        <f aca="false">X85</f>
        <v>0</v>
      </c>
      <c r="AT681" s="112" t="n">
        <f aca="true">OFFSET(CostSkill,AS681,0)-OFFSET(CostSkill,W85,0)</f>
        <v>0</v>
      </c>
      <c r="AU681" s="112" t="str">
        <f aca="false">Y85</f>
        <v>S</v>
      </c>
      <c r="AV681" s="112" t="n">
        <f aca="false">AV680+IF(AND(AR681&lt;&gt;" ",AS681&gt;0),1,0)</f>
        <v>10</v>
      </c>
      <c r="AW681" s="324"/>
      <c r="AX681" s="327" t="str">
        <f aca="false">IF(Discipline2&lt;&gt;"",HLOOKUP(Discipline2,knackfordic,BY636)," ")</f>
        <v>Fool Thief</v>
      </c>
      <c r="AY681" s="329" t="n">
        <f aca="false">IF(AX681&lt;&gt;" ",IF(ISERROR(MATCH(AX681,AX$621:AX$639,0)),MATCH(AX681,Talents!G$4:G$210)))</f>
        <v>81</v>
      </c>
      <c r="AZ681" s="329" t="str">
        <f aca="true">IF(AY681,OFFSET(Talents!H$2,Build!AY681,0)," ")</f>
        <v>Great Leap</v>
      </c>
      <c r="BA681" s="112" t="n">
        <f aca="true">IF(AY681,OFFSET(Talents!J$2,Build!AY681,0)," ")</f>
        <v>2</v>
      </c>
      <c r="BB681" s="112" t="n">
        <f aca="true">IF(AY681,OFFSET(Talents!I$2,Build!AY681,0)," ")</f>
        <v>5</v>
      </c>
      <c r="BC681" s="112" t="n">
        <f aca="true">IF(AY681,OFFSET(Talents!K$1,Build!AY681,0)," ")</f>
        <v>3400</v>
      </c>
      <c r="BD681" s="112" t="e">
        <f aca="true">IF(AY681=0,0,IF(ISERROR(MATCH(AZ681,D$616:D$656,0)),OFFSET(E$656,MATCH(AZ681,D$657:D$697,0),0),IF(OFFSET(E$615,MATCH(AZ681,D$616:D$656,0),0)&gt;OFFSET(E$656,MATCH(AZ681,D$657:D$697,0),0),OFFSET(E$615,MATCH(AZ681,D$616:D$656,0),0),OFFSET(E$656,MATCH(AZ681,D$657:D$697,0),0))))</f>
        <v>#N/A</v>
      </c>
      <c r="BE681" s="112" t="n">
        <f aca="false">BE680+IF(ISERROR(BD681), 0, IF(BD681&gt;=BB681, 1, 0))</f>
        <v>21</v>
      </c>
      <c r="BF681" s="324" t="n">
        <f aca="false">IF($BY658&lt;=BF$615,MATCH(BY658,BE$617:BE$681,0))</f>
        <v>0</v>
      </c>
      <c r="BY681" s="333" t="n">
        <f aca="false">BY680+1</f>
        <v>65</v>
      </c>
      <c r="BZ681" s="329" t="str">
        <f aca="false">B253</f>
        <v>Adventurer's Kit</v>
      </c>
      <c r="CA681" s="112" t="n">
        <f aca="false">F253</f>
        <v>0</v>
      </c>
      <c r="CB681" s="112" t="n">
        <f aca="false">G253</f>
        <v>15</v>
      </c>
      <c r="CC681" s="112" t="n">
        <f aca="false">H253</f>
        <v>14</v>
      </c>
      <c r="CD681" s="329" t="e">
        <f aca="false">FIND(",",BZ681)</f>
        <v>#VALUE!</v>
      </c>
      <c r="CE681" s="329" t="str">
        <f aca="false">IF(ISERROR(CD681),BZ681,MID(BZ681,CD681+2,20)&amp;" "&amp;LEFT(BZ681,CD681-1))&amp;IF(ISERROR(VALUE(CA681)),"",IF(CA681&gt;1," ("&amp;CA681&amp;")",""))</f>
        <v>Adventurer's Kit</v>
      </c>
      <c r="CF681" s="329" t="n">
        <f aca="false">IF(CC681=" "," ",IF(ISERROR(VALUE(CA681)),CC681,CA681*CC681))</f>
        <v>0</v>
      </c>
      <c r="CG681" s="112" t="n">
        <f aca="false">CG680+IF(AND(BZ681&lt;&gt;0,CA681&lt;&gt;0),1,0)</f>
        <v>6</v>
      </c>
      <c r="CH681" s="112" t="n">
        <f aca="false">IF($BY681&lt;=CH$615,MATCH($BY681,CG$617:CG$863,0))</f>
        <v>0</v>
      </c>
    </row>
    <row r="682" s="32" customFormat="true" ht="12.75" hidden="false" customHeight="false" outlineLevel="0" collapsed="false">
      <c r="B682" s="279" t="n">
        <v>9</v>
      </c>
      <c r="C682" s="67" t="n">
        <f aca="false">AR42</f>
        <v>0</v>
      </c>
      <c r="D682" s="67" t="n">
        <f aca="false">IF(RIGHT(C682, 3)="(D)",LEFT(C682,LEN(C682)-4),C682)</f>
        <v>0</v>
      </c>
      <c r="E682" s="64" t="n">
        <f aca="false">W42</f>
        <v>0</v>
      </c>
      <c r="F682" s="182" t="n">
        <f aca="true">OFFSET(Cost_13_15,E682,0)</f>
        <v>0</v>
      </c>
      <c r="G682" s="64" t="e">
        <f aca="false">IF(C682&lt;&gt;" ",MATCH(D682,Talents!B$3:B$345,1),0)</f>
        <v>#N/A</v>
      </c>
      <c r="H682" s="64" t="e">
        <f aca="true">IF(G682=0," ",OFFSET(Talents!C$2,G682,0))</f>
        <v>#N/A</v>
      </c>
      <c r="I682" s="64" t="n">
        <f aca="false">IF(E682&gt;0,X42,0)</f>
        <v>0</v>
      </c>
      <c r="J682" s="64" t="e">
        <f aca="false">IF(H682&lt;&gt;" ",E682+VLOOKUP(H682,G$597:L$603,6,0)+I682," ")</f>
        <v>#N/A</v>
      </c>
      <c r="K682" s="64" t="e">
        <f aca="true">IF(J682&lt;&gt;" ",OFFSET(ActionDice,J682,0),"-")</f>
        <v>#N/A</v>
      </c>
      <c r="L682" s="67" t="n">
        <f aca="false">OR(RIGHT(C682, 3)="(D)", NOT(ISERROR(MATCH(D682&amp;" (D)", C$657:C$697, 0))))</f>
        <v>0</v>
      </c>
      <c r="M682" s="64" t="e">
        <f aca="true">IF(G682&gt;0,IF(L682,"D",OFFSET(Talents!D$2,G682,0))&amp;OFFSET(Talents!E$2,G682,0)," ")</f>
        <v>#N/A</v>
      </c>
      <c r="N682" s="64" t="n">
        <f aca="false">AND(Z42="",C682&lt;&gt;" ")</f>
        <v>0</v>
      </c>
      <c r="O682" s="300" t="n">
        <f aca="false">O681+IF(N681,1,0)</f>
        <v>18</v>
      </c>
      <c r="P682" s="324" t="n">
        <f aca="false">IF(Build!$BY682&lt;=Build!P$615,MATCH(Build!$BY682,Build!O$617:O$714,0))</f>
        <v>0</v>
      </c>
      <c r="S682" s="112" t="n">
        <f aca="false">S681+IF(E180&lt;&gt;"",1,0)</f>
        <v>3</v>
      </c>
      <c r="T682" s="112"/>
      <c r="U682" s="300" t="n">
        <f aca="false">U681+IF(N398&lt;&gt;"",1,0)</f>
        <v>0</v>
      </c>
      <c r="V682" s="112" t="n">
        <f aca="false">V681+IF(N430&lt;&gt;"",1,0)</f>
        <v>0</v>
      </c>
      <c r="W682" s="112" t="n">
        <f aca="false">W681+IF(N462&lt;&gt;"",1,0)</f>
        <v>0</v>
      </c>
      <c r="X682" s="112" t="n">
        <f aca="false">X681+IF(N494&lt;&gt;"",1,0)</f>
        <v>0</v>
      </c>
      <c r="Y682" s="112" t="n">
        <f aca="false">Y681+IF(N526&lt;&gt;"",1,0)</f>
        <v>0</v>
      </c>
      <c r="Z682" s="324" t="n">
        <f aca="false">Z681+IF($N558&lt;&gt;"",1,0)</f>
        <v>0</v>
      </c>
      <c r="AA682" s="300" t="n">
        <f aca="false">IF($BY682&lt;=U$615,MATCH($BY682,U$617:U$737,0))</f>
        <v>0</v>
      </c>
      <c r="AB682" s="112" t="n">
        <f aca="false">IF($BY682&lt;=V$615,MATCH($BY682,V$617:V$737,0))</f>
        <v>0</v>
      </c>
      <c r="AC682" s="112" t="n">
        <f aca="false">IF($BY682&lt;=W$615,MATCH($BY682,W$617:W$737,0))</f>
        <v>0</v>
      </c>
      <c r="AD682" s="112" t="n">
        <f aca="false">IF($BY682&lt;=X$615,MATCH($BY682,X$617:X$737,0))</f>
        <v>0</v>
      </c>
      <c r="AE682" s="112" t="n">
        <f aca="false">IF($BY682&lt;=Y$615,MATCH($BY682,Y$617:Y$737,0))</f>
        <v>0</v>
      </c>
      <c r="AF682" s="324" t="n">
        <f aca="false">IF($BY682&lt;=Z$615,MATCH($BY682,Z$617:Z$737,0))</f>
        <v>0</v>
      </c>
      <c r="AG682" s="325" t="str">
        <f aca="true">IF(AND(AA682&lt;="",AP75=""),OFFSET(Spells!H$2,AA682,0),"")</f>
        <v>Effect</v>
      </c>
      <c r="AH682" s="325" t="str">
        <f aca="true">IF(AND(AB682&lt;="",AP75=""),OFFSET(Spells!R$2,AB682,0),"")</f>
        <v>Effect</v>
      </c>
      <c r="AI682" s="325" t="str">
        <f aca="true">IF(AND(AC682&lt;="",AP75=""),OFFSET(Spells!AB$2,AC682,0),"")</f>
        <v>Effect</v>
      </c>
      <c r="AJ682" s="326" t="str">
        <f aca="true">IF(AND(AD682&lt;="",AP75=""),OFFSET(Spells!AL$2,AD682,0),"")</f>
        <v>Effect</v>
      </c>
      <c r="AK682" s="326" t="str">
        <f aca="true">IF(AND(AE682&lt;="",AP75=""),OFFSET(Spells!AV$2,AE682,0),"")</f>
        <v>Effect</v>
      </c>
      <c r="AL682" s="325" t="str">
        <f aca="true">IF(AND(AF682&lt;="",AP73=""),OFFSET(Spells!$H$2,AF682,0),"")</f>
        <v>Effect</v>
      </c>
      <c r="AM682" s="56"/>
      <c r="AN682" s="42"/>
      <c r="AO682" s="42"/>
      <c r="AP682" s="42"/>
      <c r="AQ682" s="340"/>
      <c r="AR682" s="327" t="str">
        <f aca="false">T86&amp;IF(Z86&lt;&gt;"","("&amp;Z86&amp;")","")</f>
        <v>Emotion Song</v>
      </c>
      <c r="AS682" s="112" t="n">
        <f aca="false">X86</f>
        <v>0</v>
      </c>
      <c r="AT682" s="112" t="n">
        <f aca="true">OFFSET(CostSkill,AS682,0)-OFFSET(CostSkill,W86,0)</f>
        <v>0</v>
      </c>
      <c r="AU682" s="112" t="str">
        <f aca="false">Y86</f>
        <v>C</v>
      </c>
      <c r="AV682" s="112" t="n">
        <f aca="false">AV681+IF(AND(AR682&lt;&gt;" ",AS682&gt;0),1,0)</f>
        <v>10</v>
      </c>
      <c r="AW682" s="324"/>
      <c r="AX682" s="327" t="str">
        <f aca="false">IF(Discipline2&lt;&gt;"",HLOOKUP(Discipline2,knackfordic,BY637)," ")</f>
        <v>Flying Kick</v>
      </c>
      <c r="AY682" s="329" t="n">
        <f aca="false">IF(AX682&lt;&gt;" ",IF(ISERROR(MATCH(AX682,AX$621:AX$639,0)),MATCH(AX682,Talents!G$4:G$210)))</f>
        <v>80</v>
      </c>
      <c r="AZ682" s="329" t="str">
        <f aca="true">IF(AY682,OFFSET(Talents!H$2,Build!AY682,0)," ")</f>
        <v>Fireblood</v>
      </c>
      <c r="BA682" s="112" t="n">
        <f aca="true">IF(AY682,OFFSET(Talents!J$2,Build!AY682,0)," ")</f>
        <v>3</v>
      </c>
      <c r="BB682" s="112" t="n">
        <f aca="true">IF(AY682,OFFSET(Talents!I$2,Build!AY682,0)," ")</f>
        <v>6</v>
      </c>
      <c r="BC682" s="112" t="n">
        <f aca="true">IF(AY682,OFFSET(Talents!K$1,Build!AY682,0)," ")</f>
        <v>800</v>
      </c>
      <c r="BD682" s="112" t="e">
        <f aca="true">IF(AY682=0,0,IF(ISERROR(MATCH(AZ682,D$616:D$656,0)),OFFSET(E$656,MATCH(AZ682,D$657:D$697,0),0),IF(OFFSET(E$615,MATCH(AZ682,D$616:D$656,0),0)&gt;OFFSET(E$656,MATCH(AZ682,D$657:D$697,0),0),OFFSET(E$615,MATCH(AZ682,D$616:D$656,0),0),OFFSET(E$656,MATCH(AZ682,D$657:D$697,0),0))))</f>
        <v>#N/A</v>
      </c>
      <c r="BE682" s="112" t="n">
        <f aca="false">BE681+IF(ISERROR(BD682), 0, IF(BD682&gt;=BB682, 1, 0))</f>
        <v>21</v>
      </c>
      <c r="BF682" s="324" t="n">
        <f aca="false">IF($BY659&lt;=BF$615,MATCH(BY659,BE$617:BE$681,0))</f>
        <v>0</v>
      </c>
      <c r="BY682" s="333" t="n">
        <f aca="false">BY681+1</f>
        <v>66</v>
      </c>
      <c r="BZ682" s="329" t="str">
        <f aca="false">B254</f>
        <v>Adventurer's Kit w/Tent</v>
      </c>
      <c r="CA682" s="112" t="n">
        <f aca="false">F254</f>
        <v>0</v>
      </c>
      <c r="CB682" s="112" t="n">
        <f aca="false">G254</f>
        <v>40</v>
      </c>
      <c r="CC682" s="112" t="n">
        <f aca="false">H254</f>
        <v>34</v>
      </c>
      <c r="CD682" s="329" t="e">
        <f aca="false">FIND(",",BZ682)</f>
        <v>#VALUE!</v>
      </c>
      <c r="CE682" s="329" t="str">
        <f aca="false">IF(ISERROR(CD682),BZ682,MID(BZ682,CD682+2,20)&amp;" "&amp;LEFT(BZ682,CD682-1))&amp;IF(ISERROR(VALUE(CA682)),"",IF(CA682&gt;1," ("&amp;CA682&amp;")",""))</f>
        <v>Adventurer's Kit w/Tent</v>
      </c>
      <c r="CF682" s="329" t="n">
        <f aca="false">IF(CC682=" "," ",IF(ISERROR(VALUE(CA682)),CC682,CA682*CC682))</f>
        <v>0</v>
      </c>
      <c r="CG682" s="112" t="n">
        <f aca="false">CG681+IF(AND(BZ682&lt;&gt;0,CA682&lt;&gt;0),1,0)</f>
        <v>6</v>
      </c>
      <c r="CH682" s="112" t="n">
        <f aca="false">IF($BY682&lt;=CH$615,MATCH($BY682,CG$617:CG$863,0))</f>
        <v>0</v>
      </c>
    </row>
    <row r="683" s="32" customFormat="true" ht="12.75" hidden="false" customHeight="false" outlineLevel="0" collapsed="false">
      <c r="B683" s="279" t="n">
        <v>9</v>
      </c>
      <c r="C683" s="67" t="n">
        <f aca="false">AR43</f>
        <v>0</v>
      </c>
      <c r="D683" s="67" t="n">
        <f aca="false">IF(RIGHT(C683, 3)="(D)",LEFT(C683,LEN(C683)-4),C683)</f>
        <v>0</v>
      </c>
      <c r="E683" s="64" t="n">
        <f aca="false">W43</f>
        <v>0</v>
      </c>
      <c r="F683" s="182" t="n">
        <f aca="true">OFFSET(Cost_13_15,E683,0)</f>
        <v>0</v>
      </c>
      <c r="G683" s="64" t="e">
        <f aca="false">IF(C683&lt;&gt;" ",MATCH(D683,Talents!B$3:B$345,1),0)</f>
        <v>#N/A</v>
      </c>
      <c r="H683" s="64" t="e">
        <f aca="true">IF(G683=0," ",OFFSET(Talents!C$2,G683,0))</f>
        <v>#N/A</v>
      </c>
      <c r="I683" s="64" t="n">
        <f aca="false">IF(E683&gt;0,X43,0)</f>
        <v>0</v>
      </c>
      <c r="J683" s="64" t="e">
        <f aca="false">IF(H683&lt;&gt;" ",E683+VLOOKUP(H683,G$597:L$603,6,0)+I683," ")</f>
        <v>#N/A</v>
      </c>
      <c r="K683" s="64" t="e">
        <f aca="true">IF(J683&lt;&gt;" ",OFFSET(ActionDice,J683,0),"-")</f>
        <v>#N/A</v>
      </c>
      <c r="L683" s="67" t="n">
        <f aca="false">OR(RIGHT(C683, 3)="(D)", NOT(ISERROR(MATCH(D683&amp;" (D)", C$657:C$697, 0))))</f>
        <v>0</v>
      </c>
      <c r="M683" s="64" t="e">
        <f aca="true">IF(G683&gt;0,IF(L683,"D",OFFSET(Talents!D$2,G683,0))&amp;OFFSET(Talents!E$2,G683,0)," ")</f>
        <v>#N/A</v>
      </c>
      <c r="N683" s="64" t="n">
        <f aca="false">AND(Z43="",C683&lt;&gt;" ")</f>
        <v>0</v>
      </c>
      <c r="O683" s="300" t="n">
        <f aca="false">O682+IF(N682,1,0)</f>
        <v>18</v>
      </c>
      <c r="P683" s="324" t="n">
        <f aca="false">IF(Build!$BY683&lt;=Build!P$615,MATCH(Build!$BY683,Build!O$617:O$714,0))</f>
        <v>0</v>
      </c>
      <c r="S683" s="112" t="n">
        <f aca="false">S682+IF(E181&lt;&gt;"",1,0)</f>
        <v>3</v>
      </c>
      <c r="T683" s="112"/>
      <c r="U683" s="300" t="n">
        <f aca="false">U682+IF(N399&lt;&gt;"",1,0)</f>
        <v>0</v>
      </c>
      <c r="V683" s="112" t="n">
        <f aca="false">V682+IF(N431&lt;&gt;"",1,0)</f>
        <v>0</v>
      </c>
      <c r="W683" s="112" t="n">
        <f aca="false">W682+IF(N463&lt;&gt;"",1,0)</f>
        <v>0</v>
      </c>
      <c r="X683" s="112" t="n">
        <f aca="false">X682+IF(N495&lt;&gt;"",1,0)</f>
        <v>0</v>
      </c>
      <c r="Y683" s="112" t="n">
        <f aca="false">Y682+IF(N527&lt;&gt;"",1,0)</f>
        <v>0</v>
      </c>
      <c r="Z683" s="324" t="n">
        <f aca="false">Z682+IF($N559&lt;&gt;"",1,0)</f>
        <v>0</v>
      </c>
      <c r="AA683" s="300" t="n">
        <f aca="false">IF($BY683&lt;=U$615,MATCH($BY683,U$617:U$737,0))</f>
        <v>0</v>
      </c>
      <c r="AB683" s="112" t="n">
        <f aca="false">IF($BY683&lt;=V$615,MATCH($BY683,V$617:V$737,0))</f>
        <v>0</v>
      </c>
      <c r="AC683" s="112" t="n">
        <f aca="false">IF($BY683&lt;=W$615,MATCH($BY683,W$617:W$737,0))</f>
        <v>0</v>
      </c>
      <c r="AD683" s="112" t="n">
        <f aca="false">IF($BY683&lt;=X$615,MATCH($BY683,X$617:X$737,0))</f>
        <v>0</v>
      </c>
      <c r="AE683" s="112" t="n">
        <f aca="false">IF($BY683&lt;=Y$615,MATCH($BY683,Y$617:Y$737,0))</f>
        <v>0</v>
      </c>
      <c r="AF683" s="324" t="n">
        <f aca="false">IF($BY683&lt;=Z$615,MATCH($BY683,Z$617:Z$737,0))</f>
        <v>0</v>
      </c>
      <c r="AG683" s="325" t="str">
        <f aca="true">IF(AND(AA683&lt;="",AP76=""),OFFSET(Spells!H$2,AA683,0),"")</f>
        <v>Effect</v>
      </c>
      <c r="AH683" s="325" t="str">
        <f aca="true">IF(AND(AB683&lt;="",AP76=""),OFFSET(Spells!R$2,AB683,0),"")</f>
        <v>Effect</v>
      </c>
      <c r="AI683" s="325" t="str">
        <f aca="true">IF(AND(AC683&lt;="",AP76=""),OFFSET(Spells!AB$2,AC683,0),"")</f>
        <v>Effect</v>
      </c>
      <c r="AJ683" s="326" t="str">
        <f aca="true">IF(AND(AD683&lt;="",AP76=""),OFFSET(Spells!AL$2,AD683,0),"")</f>
        <v>Effect</v>
      </c>
      <c r="AK683" s="326" t="str">
        <f aca="true">IF(AND(AE683&lt;="",AP76=""),OFFSET(Spells!AV$2,AE683,0),"")</f>
        <v>Effect</v>
      </c>
      <c r="AL683" s="325" t="str">
        <f aca="true">IF(AND(AF683&lt;="",AP74=""),OFFSET(Spells!$H$2,AF683,0),"")</f>
        <v>Effect</v>
      </c>
      <c r="AM683" s="56"/>
      <c r="AN683" s="42"/>
      <c r="AO683" s="42"/>
      <c r="AP683" s="42"/>
      <c r="AQ683" s="340"/>
      <c r="AR683" s="327" t="str">
        <f aca="false">T87&amp;IF(Z87&lt;&gt;"","("&amp;Z87&amp;")","")</f>
        <v>Engaging Banter</v>
      </c>
      <c r="AS683" s="112" t="n">
        <f aca="false">X87</f>
        <v>0</v>
      </c>
      <c r="AT683" s="112" t="n">
        <f aca="true">OFFSET(CostSkill,AS683,0)-OFFSET(CostSkill,W87,0)</f>
        <v>0</v>
      </c>
      <c r="AU683" s="112" t="str">
        <f aca="false">Y87</f>
        <v>C</v>
      </c>
      <c r="AV683" s="112" t="n">
        <f aca="false">AV682+IF(AND(AR683&lt;&gt;" ",AS683&gt;0),1,0)</f>
        <v>10</v>
      </c>
      <c r="AW683" s="324"/>
      <c r="AX683" s="327" t="str">
        <f aca="false">IF(Discipline2&lt;&gt;"",HLOOKUP(Discipline2,knackfordic,BY638)," ")</f>
        <v>Ghost Master Ritual</v>
      </c>
      <c r="AY683" s="329" t="n">
        <f aca="false">IF(AX683&lt;&gt;" ",IF(ISERROR(MATCH(AX683,AX$621:AX$639,0)),MATCH(AX683,Talents!G$4:G$210)))</f>
        <v>85</v>
      </c>
      <c r="AZ683" s="329" t="str">
        <f aca="true">IF(AY683,OFFSET(Talents!H$2,Build!AY683,0)," ")</f>
        <v>Performance</v>
      </c>
      <c r="BA683" s="112" t="n">
        <f aca="true">IF(AY683,OFFSET(Talents!J$2,Build!AY683,0)," ")</f>
        <v>3</v>
      </c>
      <c r="BB683" s="112" t="n">
        <f aca="true">IF(AY683,OFFSET(Talents!I$2,Build!AY683,0)," ")</f>
        <v>1</v>
      </c>
      <c r="BC683" s="112" t="n">
        <f aca="true">IF(AY683,OFFSET(Talents!K$1,Build!AY683,0)," ")</f>
        <v>8900</v>
      </c>
      <c r="BD683" s="112" t="e">
        <f aca="true">IF(AY683=0,0,IF(ISERROR(MATCH(AZ683,D$616:D$656,0)),OFFSET(E$656,MATCH(AZ683,D$657:D$697,0),0),IF(OFFSET(E$615,MATCH(AZ683,D$616:D$656,0),0)&gt;OFFSET(E$656,MATCH(AZ683,D$657:D$697,0),0),OFFSET(E$615,MATCH(AZ683,D$616:D$656,0),0),OFFSET(E$656,MATCH(AZ683,D$657:D$697,0),0))))</f>
        <v>#N/A</v>
      </c>
      <c r="BE683" s="112" t="n">
        <f aca="false">BE682+IF(ISERROR(BD683), 0, IF(BD683&gt;=BB683, 1, 0))</f>
        <v>21</v>
      </c>
      <c r="BF683" s="324" t="n">
        <f aca="false">IF($BY660&lt;=BF$615,MATCH(BY660,BE$617:BE$681,0))</f>
        <v>0</v>
      </c>
      <c r="BY683" s="333" t="n">
        <f aca="false">BY682+1</f>
        <v>67</v>
      </c>
      <c r="BZ683" s="329" t="str">
        <f aca="false">B255</f>
        <v>Backpack</v>
      </c>
      <c r="CA683" s="112" t="n">
        <f aca="false">F255</f>
        <v>1</v>
      </c>
      <c r="CB683" s="112" t="n">
        <f aca="false">G255</f>
        <v>5</v>
      </c>
      <c r="CC683" s="112" t="n">
        <f aca="false">H255</f>
        <v>3</v>
      </c>
      <c r="CD683" s="329" t="e">
        <f aca="false">FIND(",",BZ683)</f>
        <v>#VALUE!</v>
      </c>
      <c r="CE683" s="329" t="str">
        <f aca="false">IF(ISERROR(CD683),BZ683,MID(BZ683,CD683+2,20)&amp;" "&amp;LEFT(BZ683,CD683-1))&amp;IF(ISERROR(VALUE(CA683)),"",IF(CA683&gt;1," ("&amp;CA683&amp;")",""))</f>
        <v>Backpack</v>
      </c>
      <c r="CF683" s="329" t="n">
        <f aca="false">IF(CC683=" "," ",IF(ISERROR(VALUE(CA683)),CC683,CA683*CC683))</f>
        <v>3</v>
      </c>
      <c r="CG683" s="112" t="n">
        <f aca="false">CG682+IF(AND(BZ683&lt;&gt;0,CA683&lt;&gt;0),1,0)</f>
        <v>7</v>
      </c>
      <c r="CH683" s="112" t="n">
        <f aca="false">IF($BY683&lt;=CH$615,MATCH($BY683,CG$617:CG$863,0))</f>
        <v>0</v>
      </c>
    </row>
    <row r="684" s="32" customFormat="true" ht="12.75" hidden="false" customHeight="false" outlineLevel="0" collapsed="false">
      <c r="B684" s="279" t="n">
        <v>10</v>
      </c>
      <c r="C684" s="67" t="str">
        <f aca="false">IF(AND(Discipline2&lt;&gt;"",Circle2&gt;=$B684),HLOOKUP(Discipline2,talentfordisc,1+BY644,0)," ")</f>
        <v> </v>
      </c>
      <c r="D684" s="67" t="str">
        <f aca="false">IF(RIGHT(C684, 3)="(D)",LEFT(C684,LEN(C684)-4),C684)</f>
        <v> </v>
      </c>
      <c r="E684" s="64" t="n">
        <f aca="false">W44</f>
        <v>0</v>
      </c>
      <c r="F684" s="182" t="n">
        <f aca="true">OFFSET(Cost_13_15,E684,0)</f>
        <v>0</v>
      </c>
      <c r="G684" s="64" t="n">
        <f aca="false">IF(C684&lt;&gt;" ",MATCH(D684,Talents!B$3:B$345,1),0)</f>
        <v>0</v>
      </c>
      <c r="H684" s="64" t="str">
        <f aca="true">IF(G684=0," ",OFFSET(Talents!C$2,G684,0))</f>
        <v> </v>
      </c>
      <c r="I684" s="64" t="n">
        <f aca="false">IF(E684&gt;0,X44,0)</f>
        <v>0</v>
      </c>
      <c r="J684" s="64" t="str">
        <f aca="false">IF(H684&lt;&gt;" ",E684+VLOOKUP(H684,G$597:L$603,6,0)+I684," ")</f>
        <v> </v>
      </c>
      <c r="K684" s="64" t="str">
        <f aca="true">IF(J684&lt;&gt;" ",OFFSET(ActionDice,J684,0),"-")</f>
        <v>-</v>
      </c>
      <c r="L684" s="67" t="n">
        <f aca="false">OR(RIGHT(C684, 3)="(D)", NOT(ISERROR(MATCH(D684&amp;" (D)", C$657:C$697, 0))))</f>
        <v>0</v>
      </c>
      <c r="M684" s="64" t="str">
        <f aca="true">IF(G684&gt;0,IF(L684,"D",OFFSET(Talents!D$2,G684,0))&amp;OFFSET(Talents!E$2,G684,0)," ")</f>
        <v> </v>
      </c>
      <c r="N684" s="64" t="n">
        <f aca="false">AND(Z44="",C684&lt;&gt;" ")</f>
        <v>0</v>
      </c>
      <c r="O684" s="300" t="n">
        <f aca="false">O683+IF(N683,1,0)</f>
        <v>18</v>
      </c>
      <c r="P684" s="324" t="n">
        <f aca="false">IF(Build!$BY684&lt;=Build!P$615,MATCH(Build!$BY684,Build!O$617:O$714,0))</f>
        <v>0</v>
      </c>
      <c r="S684" s="112" t="n">
        <f aca="false">S683+IF(E182&lt;&gt;"",1,0)</f>
        <v>3</v>
      </c>
      <c r="T684" s="112"/>
      <c r="U684" s="300" t="n">
        <f aca="false">U683+IF(N400&lt;&gt;"",1,0)</f>
        <v>0</v>
      </c>
      <c r="V684" s="112" t="n">
        <f aca="false">V683+IF(N432&lt;&gt;"",1,0)</f>
        <v>0</v>
      </c>
      <c r="W684" s="112" t="n">
        <f aca="false">W683+IF(N464&lt;&gt;"",1,0)</f>
        <v>0</v>
      </c>
      <c r="X684" s="112" t="n">
        <f aca="false">X683+IF(N496&lt;&gt;"",1,0)</f>
        <v>0</v>
      </c>
      <c r="Y684" s="112" t="n">
        <f aca="false">Y683+IF(N528&lt;&gt;"",1,0)</f>
        <v>0</v>
      </c>
      <c r="Z684" s="324" t="n">
        <f aca="false">Z683+IF($N560&lt;&gt;"",1,0)</f>
        <v>0</v>
      </c>
      <c r="AA684" s="300" t="n">
        <f aca="false">IF($BY684&lt;=U$615,MATCH($BY684,U$617:U$737,0))</f>
        <v>0</v>
      </c>
      <c r="AB684" s="112" t="n">
        <f aca="false">IF($BY684&lt;=V$615,MATCH($BY684,V$617:V$737,0))</f>
        <v>0</v>
      </c>
      <c r="AC684" s="112" t="n">
        <f aca="false">IF($BY684&lt;=W$615,MATCH($BY684,W$617:W$737,0))</f>
        <v>0</v>
      </c>
      <c r="AD684" s="112" t="n">
        <f aca="false">IF($BY684&lt;=X$615,MATCH($BY684,X$617:X$737,0))</f>
        <v>0</v>
      </c>
      <c r="AE684" s="112" t="n">
        <f aca="false">IF($BY684&lt;=Y$615,MATCH($BY684,Y$617:Y$737,0))</f>
        <v>0</v>
      </c>
      <c r="AF684" s="324" t="n">
        <f aca="false">IF($BY684&lt;=Z$615,MATCH($BY684,Z$617:Z$737,0))</f>
        <v>0</v>
      </c>
      <c r="AG684" s="325" t="str">
        <f aca="true">IF(AND(AA684&lt;="",AP77=""),OFFSET(Spells!H$2,AA684,0),"")</f>
        <v>Effect</v>
      </c>
      <c r="AH684" s="325" t="str">
        <f aca="true">IF(AND(AB684&lt;="",AP77=""),OFFSET(Spells!R$2,AB684,0),"")</f>
        <v>Effect</v>
      </c>
      <c r="AI684" s="325" t="str">
        <f aca="true">IF(AND(AC684&lt;="",AP77=""),OFFSET(Spells!AB$2,AC684,0),"")</f>
        <v>Effect</v>
      </c>
      <c r="AJ684" s="326" t="str">
        <f aca="true">IF(AND(AD684&lt;="",AP77=""),OFFSET(Spells!AL$2,AD684,0),"")</f>
        <v>Effect</v>
      </c>
      <c r="AK684" s="326" t="str">
        <f aca="true">IF(AND(AE684&lt;="",AP77=""),OFFSET(Spells!AV$2,AE684,0),"")</f>
        <v>Effect</v>
      </c>
      <c r="AL684" s="325" t="str">
        <f aca="true">IF(AND(AF684&lt;="",AP75=""),OFFSET(Spells!$H$2,AF684,0),"")</f>
        <v>Effect</v>
      </c>
      <c r="AM684" s="56"/>
      <c r="AN684" s="42"/>
      <c r="AO684" s="42"/>
      <c r="AP684" s="42"/>
      <c r="AQ684" s="340"/>
      <c r="AR684" s="327" t="str">
        <f aca="false">T88&amp;IF(Z88&lt;&gt;"","("&amp;Z88&amp;")","")</f>
        <v>Entertainer</v>
      </c>
      <c r="AS684" s="112" t="n">
        <f aca="false">X88</f>
        <v>0</v>
      </c>
      <c r="AT684" s="112" t="n">
        <f aca="true">OFFSET(CostSkill,AS684,0)-OFFSET(CostSkill,W88,0)</f>
        <v>0</v>
      </c>
      <c r="AU684" s="112" t="str">
        <f aca="false">Y88</f>
        <v>C</v>
      </c>
      <c r="AV684" s="112" t="n">
        <f aca="false">AV683+IF(AND(AR684&lt;&gt;" ",AS684&gt;0),1,0)</f>
        <v>10</v>
      </c>
      <c r="AW684" s="324"/>
      <c r="AX684" s="327" t="str">
        <f aca="false">IF(Discipline2&lt;&gt;"",HLOOKUP(Discipline2,knackfordic,BY639)," ")</f>
        <v>Guard Pockets</v>
      </c>
      <c r="AY684" s="329" t="n">
        <f aca="false">IF(AX684&lt;&gt;" ",IF(ISERROR(MATCH(AX684,AX$621:AX$639,0)),MATCH(AX684,Talents!G$4:G$210)))</f>
        <v>89</v>
      </c>
      <c r="AZ684" s="329" t="str">
        <f aca="true">IF(AY684,OFFSET(Talents!H$2,Build!AY684,0)," ")</f>
        <v>Mystic Aim</v>
      </c>
      <c r="BA684" s="112" t="n">
        <f aca="true">IF(AY684,OFFSET(Talents!J$2,Build!AY684,0)," ")</f>
        <v>6</v>
      </c>
      <c r="BB684" s="112" t="n">
        <f aca="true">IF(AY684,OFFSET(Talents!I$2,Build!AY684,0)," ")</f>
        <v>7</v>
      </c>
      <c r="BC684" s="112" t="n">
        <f aca="true">IF(AY684,OFFSET(Talents!K$1,Build!AY684,0)," ")</f>
        <v>2100</v>
      </c>
      <c r="BD684" s="112" t="e">
        <f aca="true">IF(AY684=0,0,IF(ISERROR(MATCH(AZ684,D$616:D$656,0)),OFFSET(E$656,MATCH(AZ684,D$657:D$697,0),0),IF(OFFSET(E$615,MATCH(AZ684,D$616:D$656,0),0)&gt;OFFSET(E$656,MATCH(AZ684,D$657:D$697,0),0),OFFSET(E$615,MATCH(AZ684,D$616:D$656,0),0),OFFSET(E$656,MATCH(AZ684,D$657:D$697,0),0))))</f>
        <v>#N/A</v>
      </c>
      <c r="BE684" s="112" t="n">
        <f aca="false">BE683+IF(ISERROR(BD684), 0, IF(BD684&gt;=BB684, 1, 0))</f>
        <v>21</v>
      </c>
      <c r="BF684" s="324" t="n">
        <f aca="false">IF($BY661&lt;=BF$615,MATCH(BY661,BE$617:BE$681,0))</f>
        <v>0</v>
      </c>
      <c r="BY684" s="333" t="n">
        <f aca="false">BY683+1</f>
        <v>68</v>
      </c>
      <c r="BZ684" s="329" t="str">
        <f aca="false">B256</f>
        <v>Bedroll</v>
      </c>
      <c r="CA684" s="112" t="n">
        <f aca="false">F256</f>
        <v>1</v>
      </c>
      <c r="CB684" s="112" t="n">
        <f aca="false">G256</f>
        <v>5</v>
      </c>
      <c r="CC684" s="112" t="n">
        <f aca="false">H256</f>
        <v>4</v>
      </c>
      <c r="CD684" s="329" t="e">
        <f aca="false">FIND(",",BZ684)</f>
        <v>#VALUE!</v>
      </c>
      <c r="CE684" s="329" t="str">
        <f aca="false">IF(ISERROR(CD684),BZ684,MID(BZ684,CD684+2,20)&amp;" "&amp;LEFT(BZ684,CD684-1))&amp;IF(ISERROR(VALUE(CA684)),"",IF(CA684&gt;1," ("&amp;CA684&amp;")",""))</f>
        <v>Bedroll</v>
      </c>
      <c r="CF684" s="329" t="n">
        <f aca="false">IF(CC684=" "," ",IF(ISERROR(VALUE(CA684)),CC684,CA684*CC684))</f>
        <v>4</v>
      </c>
      <c r="CG684" s="112" t="n">
        <f aca="false">CG683+IF(AND(BZ684&lt;&gt;0,CA684&lt;&gt;0),1,0)</f>
        <v>8</v>
      </c>
      <c r="CH684" s="112" t="n">
        <f aca="false">IF($BY684&lt;=CH$615,MATCH($BY684,CG$617:CG$863,0))</f>
        <v>0</v>
      </c>
    </row>
    <row r="685" s="32" customFormat="true" ht="12.75" hidden="false" customHeight="false" outlineLevel="0" collapsed="false">
      <c r="B685" s="279" t="n">
        <v>10</v>
      </c>
      <c r="C685" s="67" t="n">
        <f aca="false">AR45</f>
        <v>0</v>
      </c>
      <c r="D685" s="67" t="n">
        <f aca="false">IF(RIGHT(C685, 3)="(D)",LEFT(C685,LEN(C685)-4),C685)</f>
        <v>0</v>
      </c>
      <c r="E685" s="64" t="n">
        <f aca="false">W45</f>
        <v>0</v>
      </c>
      <c r="F685" s="182" t="n">
        <f aca="true">OFFSET(Cost_13_15,E685,0)</f>
        <v>0</v>
      </c>
      <c r="G685" s="64" t="e">
        <f aca="false">IF(C685&lt;&gt;" ",MATCH(D685,Talents!B$3:B$345,1),0)</f>
        <v>#N/A</v>
      </c>
      <c r="H685" s="64" t="e">
        <f aca="true">IF(G685=0," ",OFFSET(Talents!C$2,G685,0))</f>
        <v>#N/A</v>
      </c>
      <c r="I685" s="64" t="n">
        <f aca="false">IF(E685&gt;0,X45,0)</f>
        <v>0</v>
      </c>
      <c r="J685" s="64" t="e">
        <f aca="false">IF(H685&lt;&gt;" ",E685+VLOOKUP(H685,G$597:L$603,6,0)+I685," ")</f>
        <v>#N/A</v>
      </c>
      <c r="K685" s="64" t="e">
        <f aca="true">IF(J685&lt;&gt;" ",OFFSET(ActionDice,J685,0),"-")</f>
        <v>#N/A</v>
      </c>
      <c r="L685" s="67" t="n">
        <f aca="false">OR(RIGHT(C685, 3)="(D)", NOT(ISERROR(MATCH(D685&amp;" (D)", C$657:C$697, 0))))</f>
        <v>0</v>
      </c>
      <c r="M685" s="64" t="e">
        <f aca="true">IF(G685&gt;0,IF(L685,"D",OFFSET(Talents!D$2,G685,0))&amp;OFFSET(Talents!E$2,G685,0)," ")</f>
        <v>#N/A</v>
      </c>
      <c r="N685" s="64" t="n">
        <f aca="false">AND(Z45="",C685&lt;&gt;" ")</f>
        <v>0</v>
      </c>
      <c r="O685" s="300" t="n">
        <f aca="false">O684+IF(N684,1,0)</f>
        <v>18</v>
      </c>
      <c r="P685" s="324" t="n">
        <f aca="false">IF(Build!$BY685&lt;=Build!P$615,MATCH(Build!$BY685,Build!O$617:O$714,0))</f>
        <v>0</v>
      </c>
      <c r="S685" s="112" t="n">
        <f aca="false">S684+IF(E183&lt;&gt;"",1,0)</f>
        <v>3</v>
      </c>
      <c r="T685" s="112"/>
      <c r="U685" s="300" t="n">
        <f aca="false">U684+IF(N401&lt;&gt;"",1,0)</f>
        <v>0</v>
      </c>
      <c r="V685" s="112" t="n">
        <f aca="false">V684+IF(N433&lt;&gt;"",1,0)</f>
        <v>0</v>
      </c>
      <c r="W685" s="112" t="n">
        <f aca="false">W684+IF(N465&lt;&gt;"",1,0)</f>
        <v>0</v>
      </c>
      <c r="X685" s="112" t="n">
        <f aca="false">X684+IF(N497&lt;&gt;"",1,0)</f>
        <v>0</v>
      </c>
      <c r="Y685" s="112" t="n">
        <f aca="false">Y684+IF(N529&lt;&gt;"",1,0)</f>
        <v>0</v>
      </c>
      <c r="Z685" s="324" t="n">
        <f aca="false">Z684+IF($N561&lt;&gt;"",1,0)</f>
        <v>0</v>
      </c>
      <c r="AA685" s="300" t="n">
        <f aca="false">IF($BY685&lt;=U$615,MATCH($BY685,U$617:U$737,0))</f>
        <v>0</v>
      </c>
      <c r="AB685" s="112" t="n">
        <f aca="false">IF($BY685&lt;=V$615,MATCH($BY685,V$617:V$737,0))</f>
        <v>0</v>
      </c>
      <c r="AC685" s="112" t="n">
        <f aca="false">IF($BY685&lt;=W$615,MATCH($BY685,W$617:W$737,0))</f>
        <v>0</v>
      </c>
      <c r="AD685" s="112" t="n">
        <f aca="false">IF($BY685&lt;=X$615,MATCH($BY685,X$617:X$737,0))</f>
        <v>0</v>
      </c>
      <c r="AE685" s="112" t="n">
        <f aca="false">IF($BY685&lt;=Y$615,MATCH($BY685,Y$617:Y$737,0))</f>
        <v>0</v>
      </c>
      <c r="AF685" s="324" t="n">
        <f aca="false">IF($BY685&lt;=Z$615,MATCH($BY685,Z$617:Z$737,0))</f>
        <v>0</v>
      </c>
      <c r="AG685" s="325" t="str">
        <f aca="true">IF(AND(AA685&lt;="",AP78=""),OFFSET(Spells!H$2,AA685,0),"")</f>
        <v>Effect</v>
      </c>
      <c r="AH685" s="325" t="str">
        <f aca="true">IF(AND(AB685&lt;="",AP78=""),OFFSET(Spells!R$2,AB685,0),"")</f>
        <v>Effect</v>
      </c>
      <c r="AI685" s="325" t="str">
        <f aca="true">IF(AND(AC685&lt;="",AP78=""),OFFSET(Spells!AB$2,AC685,0),"")</f>
        <v>Effect</v>
      </c>
      <c r="AJ685" s="326" t="str">
        <f aca="true">IF(AND(AD685&lt;="",AP78=""),OFFSET(Spells!AL$2,AD685,0),"")</f>
        <v>Effect</v>
      </c>
      <c r="AK685" s="326" t="str">
        <f aca="true">IF(AND(AE685&lt;="",AP78=""),OFFSET(Spells!AV$2,AE685,0),"")</f>
        <v>Effect</v>
      </c>
      <c r="AL685" s="325" t="str">
        <f aca="true">IF(AND(AF685&lt;="",AP76=""),OFFSET(Spells!$H$2,AF685,0),"")</f>
        <v>Effect</v>
      </c>
      <c r="AM685" s="56"/>
      <c r="AN685" s="42"/>
      <c r="AO685" s="42"/>
      <c r="AP685" s="42"/>
      <c r="AQ685" s="340"/>
      <c r="AR685" s="327" t="str">
        <f aca="false">T89&amp;IF(Z89&lt;&gt;"","("&amp;Z89&amp;")","")</f>
        <v>Etiquette</v>
      </c>
      <c r="AS685" s="112" t="n">
        <f aca="false">X89</f>
        <v>0</v>
      </c>
      <c r="AT685" s="112" t="n">
        <f aca="true">OFFSET(CostSkill,AS685,0)-OFFSET(CostSkill,W89,0)</f>
        <v>0</v>
      </c>
      <c r="AU685" s="112" t="str">
        <f aca="false">Y89</f>
        <v>C</v>
      </c>
      <c r="AV685" s="112" t="n">
        <f aca="false">AV684+IF(AND(AR685&lt;&gt;" ",AS685&gt;0),1,0)</f>
        <v>10</v>
      </c>
      <c r="AW685" s="324"/>
      <c r="AX685" s="327" t="str">
        <f aca="false">IF(Discipline2&lt;&gt;"",HLOOKUP(Discipline2,knackfordic,BY640)," ")</f>
        <v>Improvised Missiles</v>
      </c>
      <c r="AY685" s="329" t="n">
        <f aca="false">IF(AX685&lt;&gt;" ",IF(ISERROR(MATCH(AX685,AX$621:AX$639,0)),MATCH(AX685,Talents!G$4:G$210)))</f>
        <v>104</v>
      </c>
      <c r="AZ685" s="329" t="str">
        <f aca="true">IF(AY685,OFFSET(Talents!H$2,Build!AY685,0)," ")</f>
        <v>Throwing Weapons</v>
      </c>
      <c r="BA685" s="112" t="n">
        <f aca="true">IF(AY685,OFFSET(Talents!J$2,Build!AY685,0)," ")</f>
        <v>1</v>
      </c>
      <c r="BB685" s="112" t="n">
        <f aca="true">IF(AY685,OFFSET(Talents!I$2,Build!AY685,0)," ")</f>
        <v>5</v>
      </c>
      <c r="BC685" s="112" t="n">
        <f aca="true">IF(AY685,OFFSET(Talents!K$1,Build!AY685,0)," ")</f>
        <v>2100</v>
      </c>
      <c r="BD685" s="112" t="e">
        <f aca="true">IF(AY685=0,0,IF(ISERROR(MATCH(AZ685,D$616:D$656,0)),OFFSET(E$656,MATCH(AZ685,D$657:D$697,0),0),IF(OFFSET(E$615,MATCH(AZ685,D$616:D$656,0),0)&gt;OFFSET(E$656,MATCH(AZ685,D$657:D$697,0),0),OFFSET(E$615,MATCH(AZ685,D$616:D$656,0),0),OFFSET(E$656,MATCH(AZ685,D$657:D$697,0),0))))</f>
        <v>#N/A</v>
      </c>
      <c r="BE685" s="112" t="n">
        <f aca="false">BE684+IF(ISERROR(BD685), 0, IF(BD685&gt;=BB685, 1, 0))</f>
        <v>21</v>
      </c>
      <c r="BF685" s="324" t="n">
        <f aca="false">IF($BY662&lt;=BF$615,MATCH(BY662,BE$617:BE$681,0))</f>
        <v>0</v>
      </c>
      <c r="BY685" s="333" t="n">
        <f aca="false">BY684+1</f>
        <v>69</v>
      </c>
      <c r="BZ685" s="329" t="str">
        <f aca="false">B257</f>
        <v>Belt Pouch</v>
      </c>
      <c r="CA685" s="112" t="n">
        <f aca="false">F257</f>
        <v>0</v>
      </c>
      <c r="CB685" s="112" t="n">
        <f aca="false">G257</f>
        <v>0.8</v>
      </c>
      <c r="CC685" s="112" t="n">
        <f aca="false">H257</f>
        <v>1</v>
      </c>
      <c r="CD685" s="329" t="e">
        <f aca="false">FIND(",",BZ685)</f>
        <v>#VALUE!</v>
      </c>
      <c r="CE685" s="329" t="str">
        <f aca="false">IF(ISERROR(CD685),BZ685,MID(BZ685,CD685+2,20)&amp;" "&amp;LEFT(BZ685,CD685-1))&amp;IF(ISERROR(VALUE(CA685)),"",IF(CA685&gt;1," ("&amp;CA685&amp;")",""))</f>
        <v>Belt Pouch</v>
      </c>
      <c r="CF685" s="329" t="n">
        <f aca="false">IF(CC685=" "," ",IF(ISERROR(VALUE(CA685)),CC685,CA685*CC685))</f>
        <v>0</v>
      </c>
      <c r="CG685" s="112" t="n">
        <f aca="false">CG684+IF(AND(BZ685&lt;&gt;0,CA685&lt;&gt;0),1,0)</f>
        <v>8</v>
      </c>
      <c r="CH685" s="112" t="n">
        <f aca="false">IF($BY685&lt;=CH$615,MATCH($BY685,CG$617:CG$863,0))</f>
        <v>0</v>
      </c>
    </row>
    <row r="686" s="32" customFormat="true" ht="12.75" hidden="false" customHeight="false" outlineLevel="0" collapsed="false">
      <c r="B686" s="279" t="n">
        <v>11</v>
      </c>
      <c r="C686" s="67" t="str">
        <f aca="false">IF(AND(Discipline2&lt;&gt;"",Circle2&gt;=$B686),HLOOKUP(Discipline2,talentfordisc,1+BY646,0)," ")</f>
        <v> </v>
      </c>
      <c r="D686" s="67" t="str">
        <f aca="false">IF(RIGHT(C686, 3)="(D)",LEFT(C686,LEN(C686)-4),C686)</f>
        <v> </v>
      </c>
      <c r="E686" s="64" t="n">
        <f aca="false">W46</f>
        <v>0</v>
      </c>
      <c r="F686" s="182" t="n">
        <f aca="true">OFFSET(Cost_13_15,E686,0)</f>
        <v>0</v>
      </c>
      <c r="G686" s="64" t="n">
        <f aca="false">IF(C686&lt;&gt;" ",MATCH(D686,Talents!B$3:B$345,1),0)</f>
        <v>0</v>
      </c>
      <c r="H686" s="64" t="str">
        <f aca="true">IF(G686=0," ",OFFSET(Talents!C$2,G686,0))</f>
        <v> </v>
      </c>
      <c r="I686" s="64" t="n">
        <f aca="false">IF(E686&gt;0,X46,0)</f>
        <v>0</v>
      </c>
      <c r="J686" s="64" t="str">
        <f aca="false">IF(H686&lt;&gt;" ",E686+VLOOKUP(H686,G$597:L$603,6,0)+I686," ")</f>
        <v> </v>
      </c>
      <c r="K686" s="64" t="str">
        <f aca="true">IF(J686&lt;&gt;" ",OFFSET(ActionDice,J686,0),"-")</f>
        <v>-</v>
      </c>
      <c r="L686" s="67" t="n">
        <f aca="false">OR(RIGHT(C686, 3)="(D)", NOT(ISERROR(MATCH(D686&amp;" (D)", C$657:C$697, 0))))</f>
        <v>0</v>
      </c>
      <c r="M686" s="64" t="str">
        <f aca="true">IF(G686&gt;0,IF(L686,"D",OFFSET(Talents!D$2,G686,0))&amp;OFFSET(Talents!E$2,G686,0)," ")</f>
        <v> </v>
      </c>
      <c r="N686" s="64" t="n">
        <f aca="false">AND(Z46="",C686&lt;&gt;" ")</f>
        <v>0</v>
      </c>
      <c r="O686" s="300" t="n">
        <f aca="false">O685+IF(N685,1,0)</f>
        <v>18</v>
      </c>
      <c r="P686" s="324" t="n">
        <f aca="false">IF(Build!$BY686&lt;=Build!P$615,MATCH(Build!$BY686,Build!O$617:O$714,0))</f>
        <v>0</v>
      </c>
      <c r="S686" s="112" t="n">
        <f aca="false">S685+IF(E184&lt;&gt;"",1,0)</f>
        <v>3</v>
      </c>
      <c r="T686" s="112"/>
      <c r="U686" s="300" t="n">
        <f aca="false">U685+IF(N402&lt;&gt;"",1,0)</f>
        <v>0</v>
      </c>
      <c r="V686" s="112" t="n">
        <f aca="false">V685+IF(N434&lt;&gt;"",1,0)</f>
        <v>0</v>
      </c>
      <c r="W686" s="112" t="n">
        <f aca="false">W685+IF(N466&lt;&gt;"",1,0)</f>
        <v>0</v>
      </c>
      <c r="X686" s="112" t="n">
        <f aca="false">X685+IF(N498&lt;&gt;"",1,0)</f>
        <v>0</v>
      </c>
      <c r="Y686" s="112" t="n">
        <f aca="false">Y685+IF(N530&lt;&gt;"",1,0)</f>
        <v>0</v>
      </c>
      <c r="Z686" s="324" t="n">
        <f aca="false">Z685+IF($N562&lt;&gt;"",1,0)</f>
        <v>0</v>
      </c>
      <c r="AA686" s="300" t="n">
        <f aca="false">IF($BY686&lt;=U$615,MATCH($BY686,U$617:U$737,0))</f>
        <v>0</v>
      </c>
      <c r="AB686" s="112" t="n">
        <f aca="false">IF($BY686&lt;=V$615,MATCH($BY686,V$617:V$737,0))</f>
        <v>0</v>
      </c>
      <c r="AC686" s="112" t="n">
        <f aca="false">IF($BY686&lt;=W$615,MATCH($BY686,W$617:W$737,0))</f>
        <v>0</v>
      </c>
      <c r="AD686" s="112" t="n">
        <f aca="false">IF($BY686&lt;=X$615,MATCH($BY686,X$617:X$737,0))</f>
        <v>0</v>
      </c>
      <c r="AE686" s="112" t="n">
        <f aca="false">IF($BY686&lt;=Y$615,MATCH($BY686,Y$617:Y$737,0))</f>
        <v>0</v>
      </c>
      <c r="AF686" s="324" t="n">
        <f aca="false">IF($BY686&lt;=Z$615,MATCH($BY686,Z$617:Z$737,0))</f>
        <v>0</v>
      </c>
      <c r="AG686" s="325" t="str">
        <f aca="true">IF(AND(AA686&lt;="",AP79=""),OFFSET(Spells!H$2,AA686,0),"")</f>
        <v>Effect</v>
      </c>
      <c r="AH686" s="325" t="str">
        <f aca="true">IF(AND(AB686&lt;="",AP79=""),OFFSET(Spells!R$2,AB686,0),"")</f>
        <v>Effect</v>
      </c>
      <c r="AI686" s="325" t="str">
        <f aca="true">IF(AND(AC686&lt;="",AP79=""),OFFSET(Spells!AB$2,AC686,0),"")</f>
        <v>Effect</v>
      </c>
      <c r="AJ686" s="326" t="str">
        <f aca="true">IF(AND(AD686&lt;="",AP79=""),OFFSET(Spells!AL$2,AD686,0),"")</f>
        <v>Effect</v>
      </c>
      <c r="AK686" s="326" t="str">
        <f aca="true">IF(AND(AE686&lt;="",AP79=""),OFFSET(Spells!AV$2,AE686,0),"")</f>
        <v>Effect</v>
      </c>
      <c r="AL686" s="325" t="str">
        <f aca="true">IF(AND(AF686&lt;="",AP77=""),OFFSET(Spells!$H$2,AF686,0),"")</f>
        <v>Effect</v>
      </c>
      <c r="AM686" s="56"/>
      <c r="AN686" s="42"/>
      <c r="AO686" s="42"/>
      <c r="AP686" s="42"/>
      <c r="AQ686" s="340"/>
      <c r="AR686" s="327" t="str">
        <f aca="false">T90&amp;IF(Z90&lt;&gt;"","("&amp;Z90&amp;")","")</f>
        <v>Fast Hand</v>
      </c>
      <c r="AS686" s="112" t="n">
        <f aca="false">X90</f>
        <v>0</v>
      </c>
      <c r="AT686" s="112" t="n">
        <f aca="true">OFFSET(CostSkill,AS686,0)-OFFSET(CostSkill,W90,0)</f>
        <v>0</v>
      </c>
      <c r="AU686" s="112" t="str">
        <f aca="false">Y90</f>
        <v>D</v>
      </c>
      <c r="AV686" s="112" t="n">
        <f aca="false">AV685+IF(AND(AR686&lt;&gt;" ",AS686&gt;0),1,0)</f>
        <v>10</v>
      </c>
      <c r="AW686" s="324"/>
      <c r="AX686" s="327" t="str">
        <f aca="false">IF(Discipline2&lt;&gt;"",HLOOKUP(Discipline2,knackfordic,BY641)," ")</f>
        <v>Improvised Weapons</v>
      </c>
      <c r="AY686" s="329" t="n">
        <f aca="false">IF(AX686&lt;&gt;" ",IF(ISERROR(MATCH(AX686,AX$621:AX$639,0)),MATCH(AX686,Talents!G$4:G$210)))</f>
        <v>105</v>
      </c>
      <c r="AZ686" s="329" t="str">
        <f aca="true">IF(AY686,OFFSET(Talents!H$2,Build!AY686,0)," ")</f>
        <v>Shield Charge</v>
      </c>
      <c r="BA686" s="112" t="n">
        <f aca="true">IF(AY686,OFFSET(Talents!J$2,Build!AY686,0)," ")</f>
        <v>2</v>
      </c>
      <c r="BB686" s="112" t="n">
        <f aca="true">IF(AY686,OFFSET(Talents!I$2,Build!AY686,0)," ")</f>
        <v>6</v>
      </c>
      <c r="BC686" s="112" t="n">
        <f aca="true">IF(AY686,OFFSET(Talents!K$1,Build!AY686,0)," ")</f>
        <v>2100</v>
      </c>
      <c r="BD686" s="112" t="e">
        <f aca="true">IF(AY686=0,0,IF(ISERROR(MATCH(AZ686,D$616:D$656,0)),OFFSET(E$656,MATCH(AZ686,D$657:D$697,0),0),IF(OFFSET(E$615,MATCH(AZ686,D$616:D$656,0),0)&gt;OFFSET(E$656,MATCH(AZ686,D$657:D$697,0),0),OFFSET(E$615,MATCH(AZ686,D$616:D$656,0),0),OFFSET(E$656,MATCH(AZ686,D$657:D$697,0),0))))</f>
        <v>#N/A</v>
      </c>
      <c r="BE686" s="112" t="n">
        <f aca="false">BE685+IF(ISERROR(BD686), 0, IF(BD686&gt;=BB686, 1, 0))</f>
        <v>21</v>
      </c>
      <c r="BF686" s="324" t="n">
        <f aca="false">IF($BY663&lt;=BF$615,MATCH(BY663,BE$617:BE$681,0))</f>
        <v>0</v>
      </c>
      <c r="BY686" s="333" t="n">
        <f aca="false">BY685+1</f>
        <v>70</v>
      </c>
      <c r="BZ686" s="329" t="str">
        <f aca="false">B258</f>
        <v>Blanket</v>
      </c>
      <c r="CA686" s="112" t="n">
        <f aca="false">F258</f>
        <v>1</v>
      </c>
      <c r="CB686" s="112" t="n">
        <f aca="false">G258</f>
        <v>1.5</v>
      </c>
      <c r="CC686" s="112" t="n">
        <f aca="false">H258</f>
        <v>2</v>
      </c>
      <c r="CD686" s="329" t="e">
        <f aca="false">FIND(",",BZ686)</f>
        <v>#VALUE!</v>
      </c>
      <c r="CE686" s="329" t="str">
        <f aca="false">IF(ISERROR(CD686),BZ686,MID(BZ686,CD686+2,20)&amp;" "&amp;LEFT(BZ686,CD686-1))&amp;IF(ISERROR(VALUE(CA686)),"",IF(CA686&gt;1," ("&amp;CA686&amp;")",""))</f>
        <v>Blanket</v>
      </c>
      <c r="CF686" s="329" t="n">
        <f aca="false">IF(CC686=" "," ",IF(ISERROR(VALUE(CA686)),CC686,CA686*CC686))</f>
        <v>2</v>
      </c>
      <c r="CG686" s="112" t="n">
        <f aca="false">CG685+IF(AND(BZ686&lt;&gt;0,CA686&lt;&gt;0),1,0)</f>
        <v>9</v>
      </c>
      <c r="CH686" s="112" t="n">
        <f aca="false">IF($BY686&lt;=CH$615,MATCH($BY686,CG$617:CG$863,0))</f>
        <v>0</v>
      </c>
    </row>
    <row r="687" s="32" customFormat="true" ht="12.75" hidden="false" customHeight="false" outlineLevel="0" collapsed="false">
      <c r="B687" s="279" t="n">
        <v>11</v>
      </c>
      <c r="C687" s="67" t="n">
        <f aca="false">AR47</f>
        <v>0</v>
      </c>
      <c r="D687" s="67" t="n">
        <f aca="false">IF(RIGHT(C687, 3)="(D)",LEFT(C687,LEN(C687)-4),C687)</f>
        <v>0</v>
      </c>
      <c r="E687" s="64" t="n">
        <f aca="false">W47</f>
        <v>0</v>
      </c>
      <c r="F687" s="182" t="n">
        <f aca="true">OFFSET(Cost_13_15,E687,0)</f>
        <v>0</v>
      </c>
      <c r="G687" s="64" t="e">
        <f aca="false">IF(C687&lt;&gt;" ",MATCH(D687,Talents!B$3:B$345,1),0)</f>
        <v>#N/A</v>
      </c>
      <c r="H687" s="64" t="e">
        <f aca="true">IF(G687=0," ",OFFSET(Talents!C$2,G687,0))</f>
        <v>#N/A</v>
      </c>
      <c r="I687" s="64" t="n">
        <f aca="false">IF(E687&gt;0,X47,0)</f>
        <v>0</v>
      </c>
      <c r="J687" s="64" t="e">
        <f aca="false">IF(H687&lt;&gt;" ",E687+VLOOKUP(H687,G$597:L$603,6,0)+I687," ")</f>
        <v>#N/A</v>
      </c>
      <c r="K687" s="64" t="e">
        <f aca="true">IF(J687&lt;&gt;" ",OFFSET(ActionDice,J687,0),"-")</f>
        <v>#N/A</v>
      </c>
      <c r="L687" s="67" t="n">
        <f aca="false">OR(RIGHT(C687, 3)="(D)", NOT(ISERROR(MATCH(D687&amp;" (D)", C$657:C$697, 0))))</f>
        <v>0</v>
      </c>
      <c r="M687" s="64" t="e">
        <f aca="true">IF(G687&gt;0,IF(L687,"D",OFFSET(Talents!D$2,G687,0))&amp;OFFSET(Talents!E$2,G687,0)," ")</f>
        <v>#N/A</v>
      </c>
      <c r="N687" s="64" t="n">
        <f aca="false">AND(Z47="",C687&lt;&gt;" ")</f>
        <v>0</v>
      </c>
      <c r="O687" s="300" t="n">
        <f aca="false">O686+IF(N686,1,0)</f>
        <v>18</v>
      </c>
      <c r="P687" s="324" t="n">
        <f aca="false">IF(Build!$BY687&lt;=Build!P$615,MATCH(Build!$BY687,Build!O$617:O$714,0))</f>
        <v>0</v>
      </c>
      <c r="S687" s="112" t="n">
        <f aca="false">S686+IF(E185&lt;&gt;"",1,0)</f>
        <v>3</v>
      </c>
      <c r="T687" s="112"/>
      <c r="U687" s="300" t="n">
        <f aca="false">U686+IF(N403&lt;&gt;"",1,0)</f>
        <v>0</v>
      </c>
      <c r="V687" s="112" t="n">
        <f aca="false">V686+IF(N435&lt;&gt;"",1,0)</f>
        <v>0</v>
      </c>
      <c r="W687" s="112" t="n">
        <f aca="false">W686+IF(N467&lt;&gt;"",1,0)</f>
        <v>0</v>
      </c>
      <c r="X687" s="112" t="n">
        <f aca="false">X686+IF(N499&lt;&gt;"",1,0)</f>
        <v>0</v>
      </c>
      <c r="Y687" s="112" t="n">
        <f aca="false">Y686+IF(N531&lt;&gt;"",1,0)</f>
        <v>0</v>
      </c>
      <c r="Z687" s="324" t="n">
        <f aca="false">Z686+IF($N563&lt;&gt;"",1,0)</f>
        <v>0</v>
      </c>
      <c r="AA687" s="300" t="n">
        <f aca="false">IF($BY687&lt;=U$615,MATCH($BY687,U$617:U$737,0))</f>
        <v>0</v>
      </c>
      <c r="AB687" s="112" t="n">
        <f aca="false">IF($BY687&lt;=V$615,MATCH($BY687,V$617:V$737,0))</f>
        <v>0</v>
      </c>
      <c r="AC687" s="112" t="n">
        <f aca="false">IF($BY687&lt;=W$615,MATCH($BY687,W$617:W$737,0))</f>
        <v>0</v>
      </c>
      <c r="AD687" s="112" t="n">
        <f aca="false">IF($BY687&lt;=X$615,MATCH($BY687,X$617:X$737,0))</f>
        <v>0</v>
      </c>
      <c r="AE687" s="112" t="n">
        <f aca="false">IF($BY687&lt;=Y$615,MATCH($BY687,Y$617:Y$737,0))</f>
        <v>0</v>
      </c>
      <c r="AF687" s="324" t="n">
        <f aca="false">IF($BY687&lt;=Z$615,MATCH($BY687,Z$617:Z$737,0))</f>
        <v>0</v>
      </c>
      <c r="AG687" s="325" t="str">
        <f aca="true">IF(AND(AA687&lt;="",AP80=""),OFFSET(Spells!H$2,AA687,0),"")</f>
        <v>Effect</v>
      </c>
      <c r="AH687" s="325" t="str">
        <f aca="true">IF(AND(AB687&lt;="",AP80=""),OFFSET(Spells!R$2,AB687,0),"")</f>
        <v>Effect</v>
      </c>
      <c r="AI687" s="325" t="str">
        <f aca="true">IF(AND(AC687&lt;="",AP80=""),OFFSET(Spells!AB$2,AC687,0),"")</f>
        <v>Effect</v>
      </c>
      <c r="AJ687" s="326" t="str">
        <f aca="true">IF(AND(AD687&lt;="",AP80=""),OFFSET(Spells!AL$2,AD687,0),"")</f>
        <v>Effect</v>
      </c>
      <c r="AK687" s="326" t="str">
        <f aca="true">IF(AND(AE687&lt;="",AP80=""),OFFSET(Spells!AV$2,AE687,0),"")</f>
        <v>Effect</v>
      </c>
      <c r="AL687" s="325" t="str">
        <f aca="true">IF(AND(AF687&lt;="",AP78=""),OFFSET(Spells!$H$2,AF687,0),"")</f>
        <v>Effect</v>
      </c>
      <c r="AM687" s="56"/>
      <c r="AN687" s="42"/>
      <c r="AO687" s="42"/>
      <c r="AP687" s="42"/>
      <c r="AQ687" s="340"/>
      <c r="AR687" s="327" t="str">
        <f aca="false">T91&amp;IF(Z91&lt;&gt;"","("&amp;Z91&amp;")","")</f>
        <v>First Impression</v>
      </c>
      <c r="AS687" s="112" t="n">
        <f aca="false">X91</f>
        <v>2</v>
      </c>
      <c r="AT687" s="112" t="n">
        <f aca="true">OFFSET(CostSkill,AS687,0)-OFFSET(CostSkill,W91,0)</f>
        <v>300</v>
      </c>
      <c r="AU687" s="112" t="str">
        <f aca="false">Y91</f>
        <v>C</v>
      </c>
      <c r="AV687" s="112" t="n">
        <f aca="false">AV686+IF(AND(AR687&lt;&gt;" ",AS687&gt;0),1,0)</f>
        <v>11</v>
      </c>
      <c r="AW687" s="324"/>
      <c r="AX687" s="327" t="str">
        <f aca="false">IF(Discipline2&lt;&gt;"",HLOOKUP(Discipline2,knackfordic,BY642)," ")</f>
        <v>Incite Monologue</v>
      </c>
      <c r="AY687" s="329" t="n">
        <f aca="false">IF(AX687&lt;&gt;" ",IF(ISERROR(MATCH(AX687,AX$621:AX$639,0)),MATCH(AX687,Talents!G$4:G$210)))</f>
        <v>106</v>
      </c>
      <c r="AZ687" s="329" t="str">
        <f aca="true">IF(AY687,OFFSET(Talents!H$2,Build!AY687,0)," ")</f>
        <v>Melee Weapons</v>
      </c>
      <c r="BA687" s="112" t="n">
        <f aca="true">IF(AY687,OFFSET(Talents!J$2,Build!AY687,0)," ")</f>
        <v>1</v>
      </c>
      <c r="BB687" s="112" t="n">
        <f aca="true">IF(AY687,OFFSET(Talents!I$2,Build!AY687,0)," ")</f>
        <v>5</v>
      </c>
      <c r="BC687" s="112" t="n">
        <f aca="true">IF(AY687,OFFSET(Talents!K$1,Build!AY687,0)," ")</f>
        <v>5500</v>
      </c>
      <c r="BD687" s="112" t="e">
        <f aca="true">IF(AY687=0,0,IF(ISERROR(MATCH(AZ687,D$616:D$656,0)),OFFSET(E$656,MATCH(AZ687,D$657:D$697,0),0),IF(OFFSET(E$615,MATCH(AZ687,D$616:D$656,0),0)&gt;OFFSET(E$656,MATCH(AZ687,D$657:D$697,0),0),OFFSET(E$615,MATCH(AZ687,D$616:D$656,0),0),OFFSET(E$656,MATCH(AZ687,D$657:D$697,0),0))))</f>
        <v>#N/A</v>
      </c>
      <c r="BE687" s="112" t="n">
        <f aca="false">BE686+IF(ISERROR(BD687), 0, IF(BD687&gt;=BB687, 1, 0))</f>
        <v>21</v>
      </c>
      <c r="BF687" s="324" t="n">
        <f aca="false">IF($BY664&lt;=BF$615,MATCH(BY664,BE$617:BE$681,0))</f>
        <v>0</v>
      </c>
      <c r="BY687" s="333" t="n">
        <f aca="false">BY686+1</f>
        <v>71</v>
      </c>
      <c r="BZ687" s="329" t="str">
        <f aca="false">B259</f>
        <v>Candle</v>
      </c>
      <c r="CA687" s="112" t="n">
        <f aca="false">F259</f>
        <v>0</v>
      </c>
      <c r="CB687" s="112" t="n">
        <f aca="false">G259</f>
        <v>0.3</v>
      </c>
      <c r="CC687" s="112" t="n">
        <f aca="false">H259</f>
        <v>0.3</v>
      </c>
      <c r="CD687" s="329" t="e">
        <f aca="false">FIND(",",BZ687)</f>
        <v>#VALUE!</v>
      </c>
      <c r="CE687" s="329" t="str">
        <f aca="false">IF(ISERROR(CD687),BZ687,MID(BZ687,CD687+2,20)&amp;" "&amp;LEFT(BZ687,CD687-1))&amp;IF(ISERROR(VALUE(CA687)),"",IF(CA687&gt;1," ("&amp;CA687&amp;")",""))</f>
        <v>Candle</v>
      </c>
      <c r="CF687" s="329" t="n">
        <f aca="false">IF(CC687=" "," ",IF(ISERROR(VALUE(CA687)),CC687,CA687*CC687))</f>
        <v>0</v>
      </c>
      <c r="CG687" s="112" t="n">
        <f aca="false">CG686+IF(AND(BZ687&lt;&gt;0,CA687&lt;&gt;0),1,0)</f>
        <v>9</v>
      </c>
      <c r="CH687" s="112" t="n">
        <f aca="false">IF($BY687&lt;=CH$615,MATCH($BY687,CG$617:CG$863,0))</f>
        <v>0</v>
      </c>
    </row>
    <row r="688" s="32" customFormat="true" ht="12.75" hidden="false" customHeight="false" outlineLevel="0" collapsed="false">
      <c r="B688" s="279" t="n">
        <v>12</v>
      </c>
      <c r="C688" s="67" t="str">
        <f aca="false">IF(AND(Discipline2&lt;&gt;"",Circle2&gt;=$B688),HLOOKUP(Discipline2,talentfordisc,1+BY648,0)," ")</f>
        <v> </v>
      </c>
      <c r="D688" s="67" t="str">
        <f aca="false">IF(RIGHT(C688, 3)="(D)",LEFT(C688,LEN(C688)-4),C688)</f>
        <v> </v>
      </c>
      <c r="E688" s="64" t="n">
        <f aca="false">W48</f>
        <v>0</v>
      </c>
      <c r="F688" s="182" t="n">
        <f aca="true">OFFSET(Cost_13_15,E688,0)</f>
        <v>0</v>
      </c>
      <c r="G688" s="64" t="n">
        <f aca="false">IF(C688&lt;&gt;" ",MATCH(D688,Talents!B$3:B$345,1),0)</f>
        <v>0</v>
      </c>
      <c r="H688" s="64" t="str">
        <f aca="true">IF(G688=0," ",OFFSET(Talents!C$2,G688,0))</f>
        <v> </v>
      </c>
      <c r="I688" s="64" t="n">
        <f aca="false">IF(E688&gt;0,X48,0)</f>
        <v>0</v>
      </c>
      <c r="J688" s="64" t="str">
        <f aca="false">IF(H688&lt;&gt;" ",E688+VLOOKUP(H688,G$597:L$603,6,0)+I688," ")</f>
        <v> </v>
      </c>
      <c r="K688" s="64" t="str">
        <f aca="true">IF(J688&lt;&gt;" ",OFFSET(ActionDice,J688,0),"-")</f>
        <v>-</v>
      </c>
      <c r="L688" s="67" t="n">
        <f aca="false">OR(RIGHT(C688, 3)="(D)", NOT(ISERROR(MATCH(D688&amp;" (D)", C$657:C$697, 0))))</f>
        <v>0</v>
      </c>
      <c r="M688" s="64" t="str">
        <f aca="true">IF(G688&gt;0,IF(L688,"D",OFFSET(Talents!D$2,G688,0))&amp;OFFSET(Talents!E$2,G688,0)," ")</f>
        <v> </v>
      </c>
      <c r="N688" s="64" t="n">
        <f aca="false">AND(Z48="",C688&lt;&gt;" ")</f>
        <v>0</v>
      </c>
      <c r="O688" s="300" t="n">
        <f aca="false">O687+IF(N687,1,0)</f>
        <v>18</v>
      </c>
      <c r="P688" s="324" t="n">
        <f aca="false">IF(Build!$BY688&lt;=Build!P$615,MATCH(Build!$BY688,Build!O$617:O$714,0))</f>
        <v>0</v>
      </c>
      <c r="S688" s="112"/>
      <c r="T688" s="112"/>
      <c r="U688" s="300" t="n">
        <f aca="false">U687+IF(N404&lt;&gt;"",1,0)</f>
        <v>0</v>
      </c>
      <c r="V688" s="112" t="n">
        <f aca="false">V687+IF(N436&lt;&gt;"",1,0)</f>
        <v>0</v>
      </c>
      <c r="W688" s="112" t="n">
        <f aca="false">W687+IF(N468&lt;&gt;"",1,0)</f>
        <v>0</v>
      </c>
      <c r="X688" s="112" t="n">
        <f aca="false">X687+IF(N500&lt;&gt;"",1,0)</f>
        <v>0</v>
      </c>
      <c r="Y688" s="112" t="n">
        <f aca="false">Y687+IF(N532&lt;&gt;"",1,0)</f>
        <v>0</v>
      </c>
      <c r="Z688" s="324" t="n">
        <f aca="false">Z687+IF($N564&lt;&gt;"",1,0)</f>
        <v>0</v>
      </c>
      <c r="AA688" s="300" t="n">
        <f aca="false">IF($BY688&lt;=U$615,MATCH($BY688,U$617:U$737,0))</f>
        <v>0</v>
      </c>
      <c r="AB688" s="112" t="n">
        <f aca="false">IF($BY688&lt;=V$615,MATCH($BY688,V$617:V$737,0))</f>
        <v>0</v>
      </c>
      <c r="AC688" s="112" t="n">
        <f aca="false">IF($BY688&lt;=W$615,MATCH($BY688,W$617:W$737,0))</f>
        <v>0</v>
      </c>
      <c r="AD688" s="112" t="n">
        <f aca="false">IF($BY688&lt;=X$615,MATCH($BY688,X$617:X$737,0))</f>
        <v>0</v>
      </c>
      <c r="AE688" s="112" t="n">
        <f aca="false">IF($BY688&lt;=Y$615,MATCH($BY688,Y$617:Y$737,0))</f>
        <v>0</v>
      </c>
      <c r="AF688" s="324" t="n">
        <f aca="false">IF($BY688&lt;=Z$615,MATCH($BY688,Z$617:Z$737,0))</f>
        <v>0</v>
      </c>
      <c r="AG688" s="325" t="str">
        <f aca="true">IF(AND(AA688&lt;="",AP81=""),OFFSET(Spells!H$2,AA688,0),"")</f>
        <v>Effect</v>
      </c>
      <c r="AH688" s="325" t="str">
        <f aca="true">IF(AND(AB688&lt;="",AP81=""),OFFSET(Spells!R$2,AB688,0),"")</f>
        <v>Effect</v>
      </c>
      <c r="AI688" s="325" t="str">
        <f aca="true">IF(AND(AC688&lt;="",AP81=""),OFFSET(Spells!AB$2,AC688,0),"")</f>
        <v>Effect</v>
      </c>
      <c r="AJ688" s="326" t="str">
        <f aca="true">IF(AND(AD688&lt;="",AP81=""),OFFSET(Spells!AL$2,AD688,0),"")</f>
        <v>Effect</v>
      </c>
      <c r="AK688" s="326" t="str">
        <f aca="true">IF(AND(AE688&lt;="",AP81=""),OFFSET(Spells!AV$2,AE688,0),"")</f>
        <v>Effect</v>
      </c>
      <c r="AL688" s="325" t="str">
        <f aca="true">IF(AND(AF688&lt;="",AP79=""),OFFSET(Spells!$H$2,AF688,0),"")</f>
        <v>Effect</v>
      </c>
      <c r="AM688" s="56"/>
      <c r="AN688" s="42"/>
      <c r="AO688" s="42"/>
      <c r="AP688" s="42"/>
      <c r="AQ688" s="340"/>
      <c r="AR688" s="327" t="str">
        <f aca="false">T92&amp;IF(Z92&lt;&gt;"","("&amp;Z92&amp;")","")</f>
        <v>Fishing</v>
      </c>
      <c r="AS688" s="112" t="n">
        <f aca="false">X92</f>
        <v>0</v>
      </c>
      <c r="AT688" s="112" t="n">
        <f aca="true">OFFSET(CostSkill,AS688,0)-OFFSET(CostSkill,W92,0)</f>
        <v>0</v>
      </c>
      <c r="AU688" s="112" t="str">
        <f aca="false">Y92</f>
        <v>P</v>
      </c>
      <c r="AV688" s="112" t="n">
        <f aca="false">AV687+IF(AND(AR688&lt;&gt;" ",AS688&gt;0),1,0)</f>
        <v>11</v>
      </c>
      <c r="AW688" s="324"/>
      <c r="AX688" s="327" t="str">
        <f aca="false">IF(Discipline2&lt;&gt;"",HLOOKUP(Discipline2,knackfordic,BY643)," ")</f>
        <v>Liar</v>
      </c>
      <c r="AY688" s="329" t="n">
        <f aca="false">IF(AX688&lt;&gt;" ",IF(ISERROR(MATCH(AX688,AX$621:AX$639,0)),MATCH(AX688,Talents!G$4:G$210)))</f>
        <v>111</v>
      </c>
      <c r="AZ688" s="329" t="str">
        <f aca="true">IF(AY688,OFFSET(Talents!H$2,Build!AY688,0)," ")</f>
        <v>Lifesight</v>
      </c>
      <c r="BA688" s="112" t="n">
        <f aca="true">IF(AY688,OFFSET(Talents!J$2,Build!AY688,0)," ")</f>
        <v>1</v>
      </c>
      <c r="BB688" s="112" t="n">
        <f aca="true">IF(AY688,OFFSET(Talents!I$2,Build!AY688,0)," ")</f>
        <v>3</v>
      </c>
      <c r="BC688" s="112" t="n">
        <f aca="true">IF(AY688,OFFSET(Talents!K$1,Build!AY688,0)," ")</f>
        <v>5500</v>
      </c>
      <c r="BD688" s="112" t="e">
        <f aca="true">IF(AY688=0,0,IF(ISERROR(MATCH(AZ688,D$616:D$656,0)),OFFSET(E$656,MATCH(AZ688,D$657:D$697,0),0),IF(OFFSET(E$615,MATCH(AZ688,D$616:D$656,0),0)&gt;OFFSET(E$656,MATCH(AZ688,D$657:D$697,0),0),OFFSET(E$615,MATCH(AZ688,D$616:D$656,0),0),OFFSET(E$656,MATCH(AZ688,D$657:D$697,0),0))))</f>
        <v>#N/A</v>
      </c>
      <c r="BE688" s="112" t="n">
        <f aca="false">BE687+IF(ISERROR(BD688), 0, IF(BD688&gt;=BB688, 1, 0))</f>
        <v>21</v>
      </c>
      <c r="BF688" s="324" t="n">
        <f aca="false">IF($BY665&lt;=BF$615,MATCH(BY665,BE$617:BE$681,0))</f>
        <v>0</v>
      </c>
      <c r="BY688" s="333" t="n">
        <f aca="false">BY687+1</f>
        <v>72</v>
      </c>
      <c r="BZ688" s="329" t="str">
        <f aca="false">B260</f>
        <v>Chain, Light</v>
      </c>
      <c r="CA688" s="112" t="n">
        <f aca="false">F260</f>
        <v>0</v>
      </c>
      <c r="CB688" s="112" t="n">
        <f aca="false">G260</f>
        <v>10</v>
      </c>
      <c r="CC688" s="112" t="n">
        <f aca="false">H260</f>
        <v>6</v>
      </c>
      <c r="CD688" s="329" t="n">
        <f aca="false">FIND(",",BZ688)</f>
        <v>6</v>
      </c>
      <c r="CE688" s="329" t="str">
        <f aca="false">IF(ISERROR(CD688),BZ688,MID(BZ688,CD688+2,20)&amp;" "&amp;LEFT(BZ688,CD688-1))&amp;IF(ISERROR(VALUE(CA688)),"",IF(CA688&gt;1," ("&amp;CA688&amp;")",""))</f>
        <v>Light Chain</v>
      </c>
      <c r="CF688" s="329" t="n">
        <f aca="false">IF(CC688=" "," ",IF(ISERROR(VALUE(CA688)),CC688,CA688*CC688))</f>
        <v>0</v>
      </c>
      <c r="CG688" s="112" t="n">
        <f aca="false">CG687+IF(AND(BZ688&lt;&gt;0,CA688&lt;&gt;0),1,0)</f>
        <v>9</v>
      </c>
      <c r="CH688" s="112" t="n">
        <f aca="false">IF($BY688&lt;=CH$615,MATCH($BY688,CG$617:CG$863,0))</f>
        <v>0</v>
      </c>
    </row>
    <row r="689" s="32" customFormat="true" ht="12.75" hidden="false" customHeight="false" outlineLevel="0" collapsed="false">
      <c r="B689" s="279" t="n">
        <v>12</v>
      </c>
      <c r="C689" s="67" t="n">
        <f aca="false">AR49</f>
        <v>0</v>
      </c>
      <c r="D689" s="67" t="n">
        <f aca="false">IF(RIGHT(C689, 3)="(D)",LEFT(C689,LEN(C689)-4),C689)</f>
        <v>0</v>
      </c>
      <c r="E689" s="64" t="n">
        <f aca="false">W49</f>
        <v>0</v>
      </c>
      <c r="F689" s="182" t="n">
        <f aca="true">OFFSET(Cost_13_15,E689,0)</f>
        <v>0</v>
      </c>
      <c r="G689" s="64" t="e">
        <f aca="false">IF(C689&lt;&gt;" ",MATCH(D689,Talents!B$3:B$345,1),0)</f>
        <v>#N/A</v>
      </c>
      <c r="H689" s="64" t="e">
        <f aca="true">IF(G689=0," ",OFFSET(Talents!C$2,G689,0))</f>
        <v>#N/A</v>
      </c>
      <c r="I689" s="64" t="n">
        <f aca="false">IF(E689&gt;0,X49,0)</f>
        <v>0</v>
      </c>
      <c r="J689" s="64" t="e">
        <f aca="false">IF(H689&lt;&gt;" ",E689+VLOOKUP(H689,G$597:L$603,6,0)+I689," ")</f>
        <v>#N/A</v>
      </c>
      <c r="K689" s="64" t="e">
        <f aca="true">IF(J689&lt;&gt;" ",OFFSET(ActionDice,J689,0),"-")</f>
        <v>#N/A</v>
      </c>
      <c r="L689" s="67" t="n">
        <f aca="false">OR(RIGHT(C689, 3)="(D)", NOT(ISERROR(MATCH(D689&amp;" (D)", C$657:C$697, 0))))</f>
        <v>0</v>
      </c>
      <c r="M689" s="64" t="e">
        <f aca="true">IF(G689&gt;0,IF(L689,"D",OFFSET(Talents!D$2,G689,0))&amp;OFFSET(Talents!E$2,G689,0)," ")</f>
        <v>#N/A</v>
      </c>
      <c r="N689" s="64" t="n">
        <f aca="false">AND(Z49="",C689&lt;&gt;" ")</f>
        <v>0</v>
      </c>
      <c r="O689" s="300" t="n">
        <f aca="false">O688+IF(N688,1,0)</f>
        <v>18</v>
      </c>
      <c r="P689" s="324" t="n">
        <f aca="false">IF(Build!$BY689&lt;=Build!P$615,MATCH(Build!$BY689,Build!O$617:O$714,0))</f>
        <v>0</v>
      </c>
      <c r="S689" s="56"/>
      <c r="T689" s="56"/>
      <c r="U689" s="300" t="n">
        <f aca="false">U688+IF(N405&lt;&gt;"",1,0)</f>
        <v>0</v>
      </c>
      <c r="V689" s="112" t="n">
        <f aca="false">V688+IF(N437&lt;&gt;"",1,0)</f>
        <v>0</v>
      </c>
      <c r="W689" s="112" t="n">
        <f aca="false">W688+IF(N469&lt;&gt;"",1,0)</f>
        <v>0</v>
      </c>
      <c r="X689" s="112" t="n">
        <f aca="false">X688+IF(N501&lt;&gt;"",1,0)</f>
        <v>0</v>
      </c>
      <c r="Y689" s="112" t="n">
        <f aca="false">Y688+IF(N533&lt;&gt;"",1,0)</f>
        <v>0</v>
      </c>
      <c r="Z689" s="324" t="n">
        <f aca="false">Z688+IF($N565&lt;&gt;"",1,0)</f>
        <v>0</v>
      </c>
      <c r="AA689" s="300" t="n">
        <f aca="false">IF($BY689&lt;=U$615,MATCH($BY689,U$617:U$737,0))</f>
        <v>0</v>
      </c>
      <c r="AB689" s="112" t="n">
        <f aca="false">IF($BY689&lt;=V$615,MATCH($BY689,V$617:V$737,0))</f>
        <v>0</v>
      </c>
      <c r="AC689" s="112" t="n">
        <f aca="false">IF($BY689&lt;=W$615,MATCH($BY689,W$617:W$737,0))</f>
        <v>0</v>
      </c>
      <c r="AD689" s="112" t="n">
        <f aca="false">IF($BY689&lt;=X$615,MATCH($BY689,X$617:X$737,0))</f>
        <v>0</v>
      </c>
      <c r="AE689" s="112" t="n">
        <f aca="false">IF($BY689&lt;=Y$615,MATCH($BY689,Y$617:Y$737,0))</f>
        <v>0</v>
      </c>
      <c r="AF689" s="324" t="n">
        <f aca="false">IF($BY689&lt;=Z$615,MATCH($BY689,Z$617:Z$737,0))</f>
        <v>0</v>
      </c>
      <c r="AG689" s="325" t="str">
        <f aca="true">IF(AND(AA689&lt;="",AP82=""),OFFSET(Spells!H$2,AA689,0),"")</f>
        <v>Effect</v>
      </c>
      <c r="AH689" s="325" t="str">
        <f aca="true">IF(AND(AB689&lt;="",AP82=""),OFFSET(Spells!R$2,AB689,0),"")</f>
        <v>Effect</v>
      </c>
      <c r="AI689" s="325" t="str">
        <f aca="true">IF(AND(AC689&lt;="",AP82=""),OFFSET(Spells!AB$2,AC689,0),"")</f>
        <v>Effect</v>
      </c>
      <c r="AJ689" s="326" t="str">
        <f aca="true">IF(AND(AD689&lt;="",AP82=""),OFFSET(Spells!AL$2,AD689,0),"")</f>
        <v>Effect</v>
      </c>
      <c r="AK689" s="326" t="str">
        <f aca="true">IF(AND(AE689&lt;="",AP82=""),OFFSET(Spells!AV$2,AE689,0),"")</f>
        <v>Effect</v>
      </c>
      <c r="AL689" s="325" t="str">
        <f aca="true">IF(AND(AF689&lt;="",AP80=""),OFFSET(Spells!$H$2,AF689,0),"")</f>
        <v>Effect</v>
      </c>
      <c r="AM689" s="56"/>
      <c r="AN689" s="42"/>
      <c r="AO689" s="42"/>
      <c r="AP689" s="42"/>
      <c r="AQ689" s="340"/>
      <c r="AR689" s="327" t="str">
        <f aca="false">T93&amp;IF(Z93&lt;&gt;"","("&amp;Z93&amp;")","")</f>
        <v>Flirting</v>
      </c>
      <c r="AS689" s="112" t="n">
        <f aca="false">X93</f>
        <v>0</v>
      </c>
      <c r="AT689" s="112" t="n">
        <f aca="true">OFFSET(CostSkill,AS689,0)-OFFSET(CostSkill,W93,0)</f>
        <v>0</v>
      </c>
      <c r="AU689" s="112" t="str">
        <f aca="false">Y93</f>
        <v>C</v>
      </c>
      <c r="AV689" s="112" t="n">
        <f aca="false">AV688+IF(AND(AR689&lt;&gt;" ",AS689&gt;0),1,0)</f>
        <v>11</v>
      </c>
      <c r="AW689" s="324"/>
      <c r="AX689" s="327" t="str">
        <f aca="false">IF(Discipline2&lt;&gt;"",HLOOKUP(Discipline2,knackfordic,BY644)," ")</f>
        <v>Listen</v>
      </c>
      <c r="AY689" s="329" t="n">
        <f aca="false">IF(AX689&lt;&gt;" ",IF(ISERROR(MATCH(AX689,AX$621:AX$639,0)),MATCH(AX689,Talents!G$4:G$210)))</f>
        <v>114</v>
      </c>
      <c r="AZ689" s="329" t="str">
        <f aca="true">IF(AY689,OFFSET(Talents!H$2,Build!AY689,0)," ")</f>
        <v>Throwing Weapons</v>
      </c>
      <c r="BA689" s="112" t="str">
        <f aca="true">IF(AY689,OFFSET(Talents!J$2,Build!AY689,0)," ")</f>
        <v>1+*</v>
      </c>
      <c r="BB689" s="112" t="n">
        <f aca="true">IF(AY689,OFFSET(Talents!I$2,Build!AY689,0)," ")</f>
        <v>5</v>
      </c>
      <c r="BC689" s="112" t="n">
        <f aca="true">IF(AY689,OFFSET(Talents!K$1,Build!AY689,0)," ")</f>
        <v>5500</v>
      </c>
      <c r="BD689" s="112" t="e">
        <f aca="true">IF(AY689=0,0,IF(ISERROR(MATCH(AZ689,D$616:D$656,0)),OFFSET(E$656,MATCH(AZ689,D$657:D$697,0),0),IF(OFFSET(E$615,MATCH(AZ689,D$616:D$656,0),0)&gt;OFFSET(E$656,MATCH(AZ689,D$657:D$697,0),0),OFFSET(E$615,MATCH(AZ689,D$616:D$656,0),0),OFFSET(E$656,MATCH(AZ689,D$657:D$697,0),0))))</f>
        <v>#N/A</v>
      </c>
      <c r="BE689" s="112" t="n">
        <f aca="false">BE688+IF(ISERROR(BD689), 0, IF(BD689&gt;=BB689, 1, 0))</f>
        <v>21</v>
      </c>
      <c r="BF689" s="324" t="n">
        <f aca="false">IF($BY666&lt;=BF$615,MATCH(BY666,BE$617:BE$681,0))</f>
        <v>0</v>
      </c>
      <c r="BY689" s="333" t="n">
        <f aca="false">BY688+1</f>
        <v>73</v>
      </c>
      <c r="BZ689" s="329" t="str">
        <f aca="false">B261</f>
        <v>Chain, Heavy</v>
      </c>
      <c r="CA689" s="112" t="n">
        <f aca="false">F261</f>
        <v>0</v>
      </c>
      <c r="CB689" s="112" t="n">
        <f aca="false">G261</f>
        <v>50</v>
      </c>
      <c r="CC689" s="112" t="n">
        <f aca="false">H261</f>
        <v>9</v>
      </c>
      <c r="CD689" s="329" t="n">
        <f aca="false">FIND(",",BZ689)</f>
        <v>6</v>
      </c>
      <c r="CE689" s="329" t="str">
        <f aca="false">IF(ISERROR(CD689),BZ689,MID(BZ689,CD689+2,20)&amp;" "&amp;LEFT(BZ689,CD689-1))&amp;IF(ISERROR(VALUE(CA689)),"",IF(CA689&gt;1," ("&amp;CA689&amp;")",""))</f>
        <v>Heavy Chain</v>
      </c>
      <c r="CF689" s="329" t="n">
        <f aca="false">IF(CC689=" "," ",IF(ISERROR(VALUE(CA689)),CC689,CA689*CC689))</f>
        <v>0</v>
      </c>
      <c r="CG689" s="112" t="n">
        <f aca="false">CG688+IF(AND(BZ689&lt;&gt;0,CA689&lt;&gt;0),1,0)</f>
        <v>9</v>
      </c>
      <c r="CH689" s="112" t="n">
        <f aca="false">IF($BY689&lt;=CH$615,MATCH($BY689,CG$617:CG$863,0))</f>
        <v>0</v>
      </c>
    </row>
    <row r="690" s="32" customFormat="true" ht="12.75" hidden="false" customHeight="false" outlineLevel="0" collapsed="false">
      <c r="B690" s="279" t="n">
        <v>13</v>
      </c>
      <c r="C690" s="67" t="str">
        <f aca="false">IF(AND(Discipline2&lt;&gt;"",Circle2&gt;=$B690),HLOOKUP(Discipline2,talentfordisc,1+BY650,0)," ")</f>
        <v> </v>
      </c>
      <c r="D690" s="67" t="str">
        <f aca="false">IF(RIGHT(C690, 3)="(D)",LEFT(C690,LEN(C690)-4),C690)</f>
        <v> </v>
      </c>
      <c r="E690" s="64" t="n">
        <f aca="false">W50</f>
        <v>0</v>
      </c>
      <c r="F690" s="182" t="n">
        <f aca="true">OFFSET(Cost_13_15,E690,0)</f>
        <v>0</v>
      </c>
      <c r="G690" s="64" t="n">
        <f aca="false">IF(C690&lt;&gt;" ",MATCH(D690,Talents!B$3:B$345,1),0)</f>
        <v>0</v>
      </c>
      <c r="H690" s="64" t="str">
        <f aca="true">IF(G690=0," ",OFFSET(Talents!C$2,G690,0))</f>
        <v> </v>
      </c>
      <c r="I690" s="64" t="n">
        <f aca="false">IF(E690&gt;0,X50,0)</f>
        <v>0</v>
      </c>
      <c r="J690" s="64" t="str">
        <f aca="false">IF(H690&lt;&gt;" ",E690+VLOOKUP(H690,G$597:L$603,6,0)+I690," ")</f>
        <v> </v>
      </c>
      <c r="K690" s="64" t="str">
        <f aca="true">IF(J690&lt;&gt;" ",OFFSET(ActionDice,J690,0),"-")</f>
        <v>-</v>
      </c>
      <c r="L690" s="67" t="n">
        <f aca="false">OR(RIGHT(C690, 3)="(D)", NOT(ISERROR(MATCH(D690&amp;" (D)", C$657:C$697, 0))))</f>
        <v>0</v>
      </c>
      <c r="M690" s="64" t="str">
        <f aca="true">IF(G690&gt;0,IF(L690,"D",OFFSET(Talents!D$2,G690,0))&amp;OFFSET(Talents!E$2,G690,0)," ")</f>
        <v> </v>
      </c>
      <c r="N690" s="64" t="n">
        <f aca="false">AND(Z50="",C690&lt;&gt;" ")</f>
        <v>0</v>
      </c>
      <c r="O690" s="300" t="n">
        <f aca="false">O689+IF(N689,1,0)</f>
        <v>18</v>
      </c>
      <c r="P690" s="324" t="n">
        <f aca="false">IF(Build!$BY690&lt;=Build!P$615,MATCH(Build!$BY690,Build!O$617:O$714,0))</f>
        <v>0</v>
      </c>
      <c r="S690" s="56"/>
      <c r="T690" s="56"/>
      <c r="U690" s="300" t="n">
        <f aca="false">U689+IF(N406&lt;&gt;"",1,0)</f>
        <v>0</v>
      </c>
      <c r="V690" s="112" t="n">
        <f aca="false">V689+IF(N438&lt;&gt;"",1,0)</f>
        <v>0</v>
      </c>
      <c r="W690" s="112" t="n">
        <f aca="false">W689+IF(N470&lt;&gt;"",1,0)</f>
        <v>0</v>
      </c>
      <c r="X690" s="112" t="n">
        <f aca="false">X689+IF(N502&lt;&gt;"",1,0)</f>
        <v>0</v>
      </c>
      <c r="Y690" s="112" t="n">
        <f aca="false">Y689+IF(N534&lt;&gt;"",1,0)</f>
        <v>0</v>
      </c>
      <c r="Z690" s="324" t="n">
        <f aca="false">Z689+IF($N566&lt;&gt;"",1,0)</f>
        <v>0</v>
      </c>
      <c r="AA690" s="300" t="n">
        <f aca="false">IF($BY690&lt;=U$615,MATCH($BY690,U$617:U$737,0))</f>
        <v>0</v>
      </c>
      <c r="AB690" s="112" t="n">
        <f aca="false">IF($BY690&lt;=V$615,MATCH($BY690,V$617:V$737,0))</f>
        <v>0</v>
      </c>
      <c r="AC690" s="112" t="n">
        <f aca="false">IF($BY690&lt;=W$615,MATCH($BY690,W$617:W$737,0))</f>
        <v>0</v>
      </c>
      <c r="AD690" s="112" t="n">
        <f aca="false">IF($BY690&lt;=X$615,MATCH($BY690,X$617:X$737,0))</f>
        <v>0</v>
      </c>
      <c r="AE690" s="112" t="n">
        <f aca="false">IF($BY690&lt;=Y$615,MATCH($BY690,Y$617:Y$737,0))</f>
        <v>0</v>
      </c>
      <c r="AF690" s="324" t="n">
        <f aca="false">IF($BY690&lt;=Z$615,MATCH($BY690,Z$617:Z$737,0))</f>
        <v>0</v>
      </c>
      <c r="AG690" s="325" t="str">
        <f aca="true">IF(AND(AA690&lt;="",AP83=""),OFFSET(Spells!H$2,AA690,0),"")</f>
        <v>Effect</v>
      </c>
      <c r="AH690" s="325" t="str">
        <f aca="true">IF(AND(AB690&lt;="",AP83=""),OFFSET(Spells!R$2,AB690,0),"")</f>
        <v>Effect</v>
      </c>
      <c r="AI690" s="325" t="str">
        <f aca="true">IF(AND(AC690&lt;="",AP83=""),OFFSET(Spells!AB$2,AC690,0),"")</f>
        <v>Effect</v>
      </c>
      <c r="AJ690" s="326" t="str">
        <f aca="true">IF(AND(AD690&lt;="",AP83=""),OFFSET(Spells!AL$2,AD690,0),"")</f>
        <v>Effect</v>
      </c>
      <c r="AK690" s="326" t="str">
        <f aca="true">IF(AND(AE690&lt;="",AP83=""),OFFSET(Spells!AV$2,AE690,0),"")</f>
        <v>Effect</v>
      </c>
      <c r="AL690" s="325" t="str">
        <f aca="true">IF(AND(AF690&lt;="",AP81=""),OFFSET(Spells!$H$2,AF690,0),"")</f>
        <v>Effect</v>
      </c>
      <c r="AM690" s="56"/>
      <c r="AN690" s="42"/>
      <c r="AO690" s="42"/>
      <c r="AP690" s="42"/>
      <c r="AQ690" s="340"/>
      <c r="AR690" s="327" t="str">
        <f aca="false">T94&amp;IF(Z94&lt;&gt;"","("&amp;Z94&amp;")","")</f>
        <v>Forgery</v>
      </c>
      <c r="AS690" s="112" t="n">
        <f aca="false">X94</f>
        <v>1</v>
      </c>
      <c r="AT690" s="112" t="n">
        <f aca="true">OFFSET(CostSkill,AS690,0)-OFFSET(CostSkill,W94,0)</f>
        <v>0</v>
      </c>
      <c r="AU690" s="112" t="str">
        <f aca="false">Y94</f>
        <v>D</v>
      </c>
      <c r="AV690" s="112" t="n">
        <f aca="false">AV689+IF(AND(AR690&lt;&gt;" ",AS690&gt;0),1,0)</f>
        <v>12</v>
      </c>
      <c r="AW690" s="324"/>
      <c r="AX690" s="327" t="str">
        <f aca="false">IF(Discipline2&lt;&gt;"",HLOOKUP(Discipline2,knackfordic,BY645)," ")</f>
        <v>Lock Guard</v>
      </c>
      <c r="AY690" s="329" t="n">
        <f aca="false">IF(AX690&lt;&gt;" ",IF(ISERROR(MATCH(AX690,AX$621:AX$639,0)),MATCH(AX690,Talents!G$4:G$210)))</f>
        <v>116</v>
      </c>
      <c r="AZ690" s="329" t="str">
        <f aca="true">IF(AY690,OFFSET(Talents!H$2,Build!AY690,0)," ")</f>
        <v>Bear Mark</v>
      </c>
      <c r="BA690" s="112" t="n">
        <f aca="true">IF(AY690,OFFSET(Talents!J$2,Build!AY690,0)," ")</f>
        <v>4</v>
      </c>
      <c r="BB690" s="112" t="n">
        <f aca="true">IF(AY690,OFFSET(Talents!I$2,Build!AY690,0)," ")</f>
        <v>5</v>
      </c>
      <c r="BC690" s="112" t="n">
        <f aca="true">IF(AY690,OFFSET(Talents!K$1,Build!AY690,0)," ")</f>
        <v>2100</v>
      </c>
      <c r="BD690" s="112" t="e">
        <f aca="true">IF(AY690=0,0,IF(ISERROR(MATCH(AZ690,D$616:D$656,0)),OFFSET(E$656,MATCH(AZ690,D$657:D$697,0),0),IF(OFFSET(E$615,MATCH(AZ690,D$616:D$656,0),0)&gt;OFFSET(E$656,MATCH(AZ690,D$657:D$697,0),0),OFFSET(E$615,MATCH(AZ690,D$616:D$656,0),0),OFFSET(E$656,MATCH(AZ690,D$657:D$697,0),0))))</f>
        <v>#N/A</v>
      </c>
      <c r="BE690" s="112" t="n">
        <f aca="false">BE689+IF(ISERROR(BD690), 0, IF(BD690&gt;=BB690, 1, 0))</f>
        <v>21</v>
      </c>
      <c r="BF690" s="324" t="n">
        <f aca="false">IF($BY667&lt;=BF$615,MATCH(BY667,BE$617:BE$681,0))</f>
        <v>0</v>
      </c>
      <c r="BY690" s="333" t="n">
        <f aca="false">BY689+1</f>
        <v>74</v>
      </c>
      <c r="BZ690" s="329" t="str">
        <f aca="false">B262</f>
        <v>Chalk (5-piece box)</v>
      </c>
      <c r="CA690" s="112" t="n">
        <f aca="false">F262</f>
        <v>0</v>
      </c>
      <c r="CB690" s="112" t="n">
        <f aca="false">G262</f>
        <v>0.3</v>
      </c>
      <c r="CC690" s="112" t="n">
        <f aca="false">H262</f>
        <v>0.3</v>
      </c>
      <c r="CD690" s="329" t="e">
        <f aca="false">FIND(",",BZ690)</f>
        <v>#VALUE!</v>
      </c>
      <c r="CE690" s="329" t="str">
        <f aca="false">IF(ISERROR(CD690),BZ690,MID(BZ690,CD690+2,20)&amp;" "&amp;LEFT(BZ690,CD690-1))&amp;IF(ISERROR(VALUE(CA690)),"",IF(CA690&gt;1," ("&amp;CA690&amp;")",""))</f>
        <v>Chalk (5-piece box)</v>
      </c>
      <c r="CF690" s="329" t="n">
        <f aca="false">IF(CC690=" "," ",IF(ISERROR(VALUE(CA690)),CC690,CA690*CC690))</f>
        <v>0</v>
      </c>
      <c r="CG690" s="112" t="n">
        <f aca="false">CG689+IF(AND(BZ690&lt;&gt;0,CA690&lt;&gt;0),1,0)</f>
        <v>9</v>
      </c>
      <c r="CH690" s="112" t="n">
        <f aca="false">IF($BY690&lt;=CH$615,MATCH($BY690,CG$617:CG$863,0))</f>
        <v>0</v>
      </c>
    </row>
    <row r="691" s="32" customFormat="true" ht="12.75" hidden="false" customHeight="false" outlineLevel="0" collapsed="false">
      <c r="B691" s="279" t="n">
        <v>13</v>
      </c>
      <c r="C691" s="67" t="n">
        <f aca="false">AR51</f>
        <v>0</v>
      </c>
      <c r="D691" s="67" t="n">
        <f aca="false">IF(RIGHT(C691, 3)="(D)",LEFT(C691,LEN(C691)-4),C691)</f>
        <v>0</v>
      </c>
      <c r="E691" s="64" t="n">
        <f aca="false">W51</f>
        <v>0</v>
      </c>
      <c r="F691" s="182" t="n">
        <f aca="true">OFFSET(Cost_13_15,E691,0)</f>
        <v>0</v>
      </c>
      <c r="G691" s="64" t="e">
        <f aca="false">IF(C691&lt;&gt;" ",MATCH(D691,Talents!B$3:B$345,1),0)</f>
        <v>#N/A</v>
      </c>
      <c r="H691" s="64" t="e">
        <f aca="true">IF(G691=0," ",OFFSET(Talents!C$2,G691,0))</f>
        <v>#N/A</v>
      </c>
      <c r="I691" s="64" t="n">
        <f aca="false">IF(E691&gt;0,X51,0)</f>
        <v>0</v>
      </c>
      <c r="J691" s="64" t="e">
        <f aca="false">IF(H691&lt;&gt;" ",E691+VLOOKUP(H691,G$597:L$603,6,0)+I691," ")</f>
        <v>#N/A</v>
      </c>
      <c r="K691" s="64" t="e">
        <f aca="true">IF(J691&lt;&gt;" ",OFFSET(ActionDice,J691,0),"-")</f>
        <v>#N/A</v>
      </c>
      <c r="L691" s="67" t="n">
        <f aca="false">OR(RIGHT(C691, 3)="(D)", NOT(ISERROR(MATCH(D691&amp;" (D)", C$657:C$697, 0))))</f>
        <v>0</v>
      </c>
      <c r="M691" s="64" t="e">
        <f aca="true">IF(G691&gt;0,IF(L691,"D",OFFSET(Talents!D$2,G691,0))&amp;OFFSET(Talents!E$2,G691,0)," ")</f>
        <v>#N/A</v>
      </c>
      <c r="N691" s="64" t="n">
        <f aca="false">AND(Z51="",C691&lt;&gt;" ")</f>
        <v>0</v>
      </c>
      <c r="O691" s="300" t="n">
        <f aca="false">O690+IF(N690,1,0)</f>
        <v>18</v>
      </c>
      <c r="P691" s="324" t="n">
        <f aca="false">IF(Build!$BY691&lt;=Build!P$615,MATCH(Build!$BY691,Build!O$617:O$714,0))</f>
        <v>0</v>
      </c>
      <c r="S691" s="56"/>
      <c r="T691" s="56"/>
      <c r="U691" s="300" t="n">
        <f aca="false">U690+IF(N407&lt;&gt;"",1,0)</f>
        <v>0</v>
      </c>
      <c r="V691" s="112" t="n">
        <f aca="false">V690+IF(N439&lt;&gt;"",1,0)</f>
        <v>0</v>
      </c>
      <c r="W691" s="112" t="n">
        <f aca="false">W690+IF(N471&lt;&gt;"",1,0)</f>
        <v>0</v>
      </c>
      <c r="X691" s="112" t="n">
        <f aca="false">X690+IF(N503&lt;&gt;"",1,0)</f>
        <v>0</v>
      </c>
      <c r="Y691" s="112" t="n">
        <f aca="false">Y690+IF(N535&lt;&gt;"",1,0)</f>
        <v>0</v>
      </c>
      <c r="Z691" s="324" t="n">
        <f aca="false">Z690+IF($N567&lt;&gt;"",1,0)</f>
        <v>0</v>
      </c>
      <c r="AA691" s="300" t="n">
        <f aca="false">IF($BY691&lt;=U$615,MATCH($BY691,U$617:U$737,0))</f>
        <v>0</v>
      </c>
      <c r="AB691" s="112" t="n">
        <f aca="false">IF($BY691&lt;=V$615,MATCH($BY691,V$617:V$737,0))</f>
        <v>0</v>
      </c>
      <c r="AC691" s="112" t="n">
        <f aca="false">IF($BY691&lt;=W$615,MATCH($BY691,W$617:W$737,0))</f>
        <v>0</v>
      </c>
      <c r="AD691" s="112" t="n">
        <f aca="false">IF($BY691&lt;=X$615,MATCH($BY691,X$617:X$737,0))</f>
        <v>0</v>
      </c>
      <c r="AE691" s="112" t="n">
        <f aca="false">IF($BY691&lt;=Y$615,MATCH($BY691,Y$617:Y$737,0))</f>
        <v>0</v>
      </c>
      <c r="AF691" s="324" t="n">
        <f aca="false">IF($BY691&lt;=Z$615,MATCH($BY691,Z$617:Z$737,0))</f>
        <v>0</v>
      </c>
      <c r="AG691" s="325" t="str">
        <f aca="true">IF(AND(AA691&lt;="",AP84=""),OFFSET(Spells!H$2,AA691,0),"")</f>
        <v>Effect</v>
      </c>
      <c r="AH691" s="325" t="str">
        <f aca="true">IF(AND(AB691&lt;="",AP84=""),OFFSET(Spells!R$2,AB691,0),"")</f>
        <v>Effect</v>
      </c>
      <c r="AI691" s="325" t="str">
        <f aca="true">IF(AND(AC691&lt;="",AP84=""),OFFSET(Spells!AB$2,AC691,0),"")</f>
        <v>Effect</v>
      </c>
      <c r="AJ691" s="326" t="str">
        <f aca="true">IF(AND(AD691&lt;="",AP84=""),OFFSET(Spells!AL$2,AD691,0),"")</f>
        <v>Effect</v>
      </c>
      <c r="AK691" s="326" t="str">
        <f aca="true">IF(AND(AE691&lt;="",AP84=""),OFFSET(Spells!AV$2,AE691,0),"")</f>
        <v>Effect</v>
      </c>
      <c r="AL691" s="325" t="str">
        <f aca="true">IF(AND(AF691&lt;="",AP82=""),OFFSET(Spells!$H$2,AF691,0),"")</f>
        <v>Effect</v>
      </c>
      <c r="AM691" s="56"/>
      <c r="AN691" s="42"/>
      <c r="AO691" s="42"/>
      <c r="AP691" s="42"/>
      <c r="AQ691" s="340"/>
      <c r="AR691" s="327" t="str">
        <f aca="false">T95&amp;IF(Z95&lt;&gt;"","("&amp;Z95&amp;")","")</f>
        <v>Graceful Exit</v>
      </c>
      <c r="AS691" s="112" t="n">
        <f aca="false">X95</f>
        <v>0</v>
      </c>
      <c r="AT691" s="112" t="n">
        <f aca="true">OFFSET(CostSkill,AS691,0)-OFFSET(CostSkill,W95,0)</f>
        <v>0</v>
      </c>
      <c r="AU691" s="112" t="str">
        <f aca="false">Y95</f>
        <v>C</v>
      </c>
      <c r="AV691" s="112" t="n">
        <f aca="false">AV690+IF(AND(AR691&lt;&gt;" ",AS691&gt;0),1,0)</f>
        <v>12</v>
      </c>
      <c r="AW691" s="324"/>
      <c r="AX691" s="327" t="str">
        <f aca="false">IF(Discipline2&lt;&gt;"",HLOOKUP(Discipline2,knackfordic,BY646)," ")</f>
        <v>Mimic Music</v>
      </c>
      <c r="AY691" s="329" t="n">
        <f aca="false">IF(AX691&lt;&gt;" ",IF(ISERROR(MATCH(AX691,AX$621:AX$639,0)),MATCH(AX691,Talents!G$4:G$210)))</f>
        <v>122</v>
      </c>
      <c r="AZ691" s="329" t="str">
        <f aca="true">IF(AY691,OFFSET(Talents!H$2,Build!AY691,0)," ")</f>
        <v>Unarmed Combat</v>
      </c>
      <c r="BA691" s="112" t="n">
        <f aca="true">IF(AY691,OFFSET(Talents!J$2,Build!AY691,0)," ")</f>
        <v>2</v>
      </c>
      <c r="BB691" s="112" t="n">
        <f aca="true">IF(AY691,OFFSET(Talents!I$2,Build!AY691,0)," ")</f>
        <v>6</v>
      </c>
      <c r="BC691" s="112" t="n">
        <f aca="true">IF(AY691,OFFSET(Talents!K$1,Build!AY691,0)," ")</f>
        <v>1300</v>
      </c>
      <c r="BD691" s="112" t="e">
        <f aca="true">IF(AY691=0,0,IF(ISERROR(MATCH(AZ691,D$616:D$656,0)),OFFSET(E$656,MATCH(AZ691,D$657:D$697,0),0),IF(OFFSET(E$615,MATCH(AZ691,D$616:D$656,0),0)&gt;OFFSET(E$656,MATCH(AZ691,D$657:D$697,0),0),OFFSET(E$615,MATCH(AZ691,D$616:D$656,0),0),OFFSET(E$656,MATCH(AZ691,D$657:D$697,0),0))))</f>
        <v>#N/A</v>
      </c>
      <c r="BE691" s="112" t="n">
        <f aca="false">BE690+IF(ISERROR(BD691), 0, IF(BD691&gt;=BB691, 1, 0))</f>
        <v>21</v>
      </c>
      <c r="BF691" s="324" t="n">
        <f aca="false">IF($BY668&lt;=BF$615,MATCH(BY668,BE$617:BE$681,0))</f>
        <v>0</v>
      </c>
      <c r="BY691" s="333" t="n">
        <f aca="false">BY690+1</f>
        <v>75</v>
      </c>
      <c r="BZ691" s="329" t="str">
        <f aca="false">B263</f>
        <v>Fishhook</v>
      </c>
      <c r="CA691" s="112" t="n">
        <f aca="false">F263</f>
        <v>0</v>
      </c>
      <c r="CB691" s="112" t="n">
        <f aca="false">G263</f>
        <v>0.1</v>
      </c>
      <c r="CC691" s="112" t="n">
        <f aca="false">H263</f>
        <v>0</v>
      </c>
      <c r="CD691" s="329" t="e">
        <f aca="false">FIND(",",BZ691)</f>
        <v>#VALUE!</v>
      </c>
      <c r="CE691" s="329" t="str">
        <f aca="false">IF(ISERROR(CD691),BZ691,MID(BZ691,CD691+2,20)&amp;" "&amp;LEFT(BZ691,CD691-1))&amp;IF(ISERROR(VALUE(CA691)),"",IF(CA691&gt;1," ("&amp;CA691&amp;")",""))</f>
        <v>Fishhook</v>
      </c>
      <c r="CF691" s="329" t="n">
        <f aca="false">IF(CC691=" "," ",IF(ISERROR(VALUE(CA691)),CC691,CA691*CC691))</f>
        <v>0</v>
      </c>
      <c r="CG691" s="112" t="n">
        <f aca="false">CG690+IF(AND(BZ691&lt;&gt;0,CA691&lt;&gt;0),1,0)</f>
        <v>9</v>
      </c>
      <c r="CH691" s="112" t="n">
        <f aca="false">IF($BY691&lt;=CH$615,MATCH($BY691,CG$617:CG$863,0))</f>
        <v>0</v>
      </c>
    </row>
    <row r="692" s="32" customFormat="true" ht="12.75" hidden="false" customHeight="false" outlineLevel="0" collapsed="false">
      <c r="B692" s="279" t="n">
        <v>13</v>
      </c>
      <c r="C692" s="67" t="n">
        <f aca="false">AR52</f>
        <v>0</v>
      </c>
      <c r="D692" s="67" t="n">
        <f aca="false">IF(RIGHT(C692, 3)="(D)",LEFT(C692,LEN(C692)-4),C692)</f>
        <v>0</v>
      </c>
      <c r="E692" s="64" t="n">
        <f aca="false">W52</f>
        <v>0</v>
      </c>
      <c r="F692" s="182" t="n">
        <f aca="true">OFFSET(Cost_13_15,E692,0)</f>
        <v>0</v>
      </c>
      <c r="G692" s="64" t="e">
        <f aca="false">IF(C692&lt;&gt;" ",MATCH(D692,Talents!B$3:B$345,1),0)</f>
        <v>#N/A</v>
      </c>
      <c r="H692" s="64" t="e">
        <f aca="true">IF(G692=0," ",OFFSET(Talents!C$2,G692,0))</f>
        <v>#N/A</v>
      </c>
      <c r="I692" s="64" t="n">
        <f aca="false">IF(E692&gt;0,X52,0)</f>
        <v>0</v>
      </c>
      <c r="J692" s="64" t="e">
        <f aca="false">IF(H692&lt;&gt;" ",E692+VLOOKUP(H692,G$597:L$603,6,0)+I692," ")</f>
        <v>#N/A</v>
      </c>
      <c r="K692" s="64" t="e">
        <f aca="true">IF(J692&lt;&gt;" ",OFFSET(ActionDice,J692,0),"-")</f>
        <v>#N/A</v>
      </c>
      <c r="L692" s="67" t="n">
        <f aca="false">OR(RIGHT(C692, 3)="(D)", NOT(ISERROR(MATCH(D692&amp;" (D)", C$657:C$697, 0))))</f>
        <v>0</v>
      </c>
      <c r="M692" s="64" t="e">
        <f aca="true">IF(G692&gt;0,IF(L692,"D",OFFSET(Talents!D$2,G692,0))&amp;OFFSET(Talents!E$2,G692,0)," ")</f>
        <v>#N/A</v>
      </c>
      <c r="N692" s="64" t="n">
        <f aca="false">AND(Z52="",C692&lt;&gt;" ")</f>
        <v>0</v>
      </c>
      <c r="O692" s="300" t="n">
        <f aca="false">O691+IF(N691,1,0)</f>
        <v>18</v>
      </c>
      <c r="P692" s="324" t="n">
        <f aca="false">IF(Build!$BY692&lt;=Build!P$615,MATCH(Build!$BY692,Build!O$617:O$714,0))</f>
        <v>0</v>
      </c>
      <c r="S692" s="56"/>
      <c r="T692" s="56"/>
      <c r="U692" s="300" t="n">
        <f aca="false">U691+IF(N408&lt;&gt;"",1,0)</f>
        <v>0</v>
      </c>
      <c r="V692" s="112" t="n">
        <f aca="false">V691+IF(N440&lt;&gt;"",1,0)</f>
        <v>0</v>
      </c>
      <c r="W692" s="112" t="n">
        <f aca="false">W691+IF(N472&lt;&gt;"",1,0)</f>
        <v>0</v>
      </c>
      <c r="X692" s="112" t="n">
        <f aca="false">X691+IF(N504&lt;&gt;"",1,0)</f>
        <v>0</v>
      </c>
      <c r="Y692" s="112" t="n">
        <f aca="false">Y691+IF(N536&lt;&gt;"",1,0)</f>
        <v>0</v>
      </c>
      <c r="Z692" s="324" t="n">
        <f aca="false">Z691+IF($N568&lt;&gt;"",1,0)</f>
        <v>0</v>
      </c>
      <c r="AA692" s="300" t="n">
        <f aca="false">IF($BY692&lt;=U$615,MATCH($BY692,U$617:U$737,0))</f>
        <v>0</v>
      </c>
      <c r="AB692" s="112" t="n">
        <f aca="false">IF($BY692&lt;=V$615,MATCH($BY692,V$617:V$737,0))</f>
        <v>0</v>
      </c>
      <c r="AC692" s="112" t="n">
        <f aca="false">IF($BY692&lt;=W$615,MATCH($BY692,W$617:W$737,0))</f>
        <v>0</v>
      </c>
      <c r="AD692" s="112" t="n">
        <f aca="false">IF($BY692&lt;=X$615,MATCH($BY692,X$617:X$737,0))</f>
        <v>0</v>
      </c>
      <c r="AE692" s="112" t="n">
        <f aca="false">IF($BY692&lt;=Y$615,MATCH($BY692,Y$617:Y$737,0))</f>
        <v>0</v>
      </c>
      <c r="AF692" s="324" t="n">
        <f aca="false">IF($BY692&lt;=Z$615,MATCH($BY692,Z$617:Z$737,0))</f>
        <v>0</v>
      </c>
      <c r="AG692" s="325" t="str">
        <f aca="true">IF(AND(AA692&lt;="",AP85=""),OFFSET(Spells!H$2,AA692,0),"")</f>
        <v>Effect</v>
      </c>
      <c r="AH692" s="325" t="str">
        <f aca="true">IF(AND(AB692&lt;="",AP85=""),OFFSET(Spells!R$2,AB692,0),"")</f>
        <v>Effect</v>
      </c>
      <c r="AI692" s="325" t="str">
        <f aca="true">IF(AND(AC692&lt;="",AP85=""),OFFSET(Spells!AB$2,AC692,0),"")</f>
        <v>Effect</v>
      </c>
      <c r="AJ692" s="326" t="str">
        <f aca="true">IF(AND(AD692&lt;="",AP85=""),OFFSET(Spells!AL$2,AD692,0),"")</f>
        <v>Effect</v>
      </c>
      <c r="AK692" s="326" t="str">
        <f aca="true">IF(AND(AE692&lt;="",AP85=""),OFFSET(Spells!AV$2,AE692,0),"")</f>
        <v>Effect</v>
      </c>
      <c r="AL692" s="325" t="str">
        <f aca="true">IF(AND(AF692&lt;="",AP83=""),OFFSET(Spells!$H$2,AF692,0),"")</f>
        <v>Effect</v>
      </c>
      <c r="AM692" s="56"/>
      <c r="AN692" s="42"/>
      <c r="AO692" s="42"/>
      <c r="AP692" s="42"/>
      <c r="AQ692" s="340"/>
      <c r="AR692" s="327" t="str">
        <f aca="false">T96&amp;IF(Z96&lt;&gt;"","("&amp;Z96&amp;")","")</f>
        <v>Great Leap</v>
      </c>
      <c r="AS692" s="112" t="n">
        <f aca="false">X96</f>
        <v>0</v>
      </c>
      <c r="AT692" s="112" t="n">
        <f aca="true">OFFSET(CostSkill,AS692,0)-OFFSET(CostSkill,W96,0)</f>
        <v>0</v>
      </c>
      <c r="AU692" s="112" t="str">
        <f aca="false">Y96</f>
        <v>D</v>
      </c>
      <c r="AV692" s="112" t="n">
        <f aca="false">AV691+IF(AND(AR692&lt;&gt;" ",AS692&gt;0),1,0)</f>
        <v>12</v>
      </c>
      <c r="AW692" s="324"/>
      <c r="AX692" s="327" t="str">
        <f aca="false">IF(Discipline2&lt;&gt;"",HLOOKUP(Discipline2,knackfordic,BY647)," ")</f>
        <v>Mind Reading</v>
      </c>
      <c r="AY692" s="329" t="n">
        <f aca="false">IF(AX692&lt;&gt;" ",IF(ISERROR(MATCH(AX692,AX$621:AX$639,0)),MATCH(AX692,Talents!G$4:G$210)))</f>
        <v>123</v>
      </c>
      <c r="AZ692" s="329" t="str">
        <f aca="true">IF(AY692,OFFSET(Talents!H$2,Build!AY692,0)," ")</f>
        <v>Mimic Voice</v>
      </c>
      <c r="BA692" s="112" t="n">
        <f aca="true">IF(AY692,OFFSET(Talents!J$2,Build!AY692,0)," ")</f>
        <v>2</v>
      </c>
      <c r="BB692" s="112" t="n">
        <f aca="true">IF(AY692,OFFSET(Talents!I$2,Build!AY692,0)," ")</f>
        <v>6</v>
      </c>
      <c r="BC692" s="112" t="n">
        <f aca="true">IF(AY692,OFFSET(Talents!K$1,Build!AY692,0)," ")</f>
        <v>3400</v>
      </c>
      <c r="BD692" s="112" t="e">
        <f aca="true">IF(AY692=0,0,IF(ISERROR(MATCH(AZ692,D$616:D$656,0)),OFFSET(E$656,MATCH(AZ692,D$657:D$697,0),0),IF(OFFSET(E$615,MATCH(AZ692,D$616:D$656,0),0)&gt;OFFSET(E$656,MATCH(AZ692,D$657:D$697,0),0),OFFSET(E$615,MATCH(AZ692,D$616:D$656,0),0),OFFSET(E$656,MATCH(AZ692,D$657:D$697,0),0))))</f>
        <v>#N/A</v>
      </c>
      <c r="BE692" s="112" t="n">
        <f aca="false">BE691+IF(ISERROR(BD692), 0, IF(BD692&gt;=BB692, 1, 0))</f>
        <v>21</v>
      </c>
      <c r="BF692" s="324" t="n">
        <f aca="false">IF($BY669&lt;=BF$615,MATCH(BY669,BE$617:BE$681,0))</f>
        <v>0</v>
      </c>
      <c r="BY692" s="333" t="n">
        <f aca="false">BY691+1</f>
        <v>76</v>
      </c>
      <c r="BZ692" s="329" t="str">
        <f aca="false">B264</f>
        <v>Fishnet (5 sq. ft.)</v>
      </c>
      <c r="CA692" s="112" t="n">
        <f aca="false">F264</f>
        <v>0</v>
      </c>
      <c r="CB692" s="112" t="n">
        <f aca="false">G264</f>
        <v>15</v>
      </c>
      <c r="CC692" s="112" t="n">
        <f aca="false">H264</f>
        <v>10</v>
      </c>
      <c r="CD692" s="329" t="e">
        <f aca="false">FIND(",",BZ692)</f>
        <v>#VALUE!</v>
      </c>
      <c r="CE692" s="329" t="str">
        <f aca="false">IF(ISERROR(CD692),BZ692,MID(BZ692,CD692+2,20)&amp;" "&amp;LEFT(BZ692,CD692-1))&amp;IF(ISERROR(VALUE(CA692)),"",IF(CA692&gt;1," ("&amp;CA692&amp;")",""))</f>
        <v>Fishnet (5 sq. ft.)</v>
      </c>
      <c r="CF692" s="329" t="n">
        <f aca="false">IF(CC692=" "," ",IF(ISERROR(VALUE(CA692)),CC692,CA692*CC692))</f>
        <v>0</v>
      </c>
      <c r="CG692" s="112" t="n">
        <f aca="false">CG691+IF(AND(BZ692&lt;&gt;0,CA692&lt;&gt;0),1,0)</f>
        <v>9</v>
      </c>
      <c r="CH692" s="112" t="n">
        <f aca="false">IF($BY692&lt;=CH$615,MATCH($BY692,CG$617:CG$863,0))</f>
        <v>0</v>
      </c>
    </row>
    <row r="693" s="32" customFormat="true" ht="12.75" hidden="false" customHeight="false" outlineLevel="0" collapsed="false">
      <c r="B693" s="279" t="n">
        <v>14</v>
      </c>
      <c r="C693" s="67" t="str">
        <f aca="false">IF(AND(Discipline2&lt;&gt;"",Circle2&gt;=$B693),HLOOKUP(Discipline2,talentfordisc,1+BY653,0)," ")</f>
        <v> </v>
      </c>
      <c r="D693" s="67" t="str">
        <f aca="false">IF(RIGHT(C693, 3)="(D)",LEFT(C693,LEN(C693)-4),C693)</f>
        <v> </v>
      </c>
      <c r="E693" s="64" t="n">
        <f aca="false">W53</f>
        <v>0</v>
      </c>
      <c r="F693" s="182" t="n">
        <f aca="true">OFFSET(Cost_13_15,E693,0)</f>
        <v>0</v>
      </c>
      <c r="G693" s="64" t="n">
        <f aca="false">IF(C693&lt;&gt;" ",MATCH(D693,Talents!B$3:B$345,1),0)</f>
        <v>0</v>
      </c>
      <c r="H693" s="64" t="str">
        <f aca="true">IF(G693=0," ",OFFSET(Talents!C$2,G693,0))</f>
        <v> </v>
      </c>
      <c r="I693" s="64" t="n">
        <f aca="false">IF(E693&gt;0,X53,0)</f>
        <v>0</v>
      </c>
      <c r="J693" s="64" t="str">
        <f aca="false">IF(H693&lt;&gt;" ",E693+VLOOKUP(H693,G$597:L$603,6,0)+I693," ")</f>
        <v> </v>
      </c>
      <c r="K693" s="64" t="str">
        <f aca="true">IF(J693&lt;&gt;" ",OFFSET(ActionDice,J693,0),"-")</f>
        <v>-</v>
      </c>
      <c r="L693" s="67" t="n">
        <f aca="false">OR(RIGHT(C693, 3)="(D)", NOT(ISERROR(MATCH(D693&amp;" (D)", C$657:C$697, 0))))</f>
        <v>0</v>
      </c>
      <c r="M693" s="64" t="str">
        <f aca="true">IF(G693&gt;0,IF(L693,"D",OFFSET(Talents!D$2,G693,0))&amp;OFFSET(Talents!E$2,G693,0)," ")</f>
        <v> </v>
      </c>
      <c r="N693" s="64" t="n">
        <f aca="false">AND(Z53="",C693&lt;&gt;" ")</f>
        <v>0</v>
      </c>
      <c r="O693" s="300" t="n">
        <f aca="false">O692+IF(N692,1,0)</f>
        <v>18</v>
      </c>
      <c r="P693" s="324" t="n">
        <f aca="false">IF(Build!$BY693&lt;=Build!P$615,MATCH(Build!$BY693,Build!O$617:O$714,0))</f>
        <v>0</v>
      </c>
      <c r="S693" s="56"/>
      <c r="T693" s="56"/>
      <c r="U693" s="300" t="n">
        <f aca="false">U692+IF(N409&lt;&gt;"",1,0)</f>
        <v>0</v>
      </c>
      <c r="V693" s="112" t="n">
        <f aca="false">V692+IF(N441&lt;&gt;"",1,0)</f>
        <v>0</v>
      </c>
      <c r="W693" s="112" t="n">
        <f aca="false">W692+IF(N473&lt;&gt;"",1,0)</f>
        <v>0</v>
      </c>
      <c r="X693" s="112" t="n">
        <f aca="false">X692+IF(N505&lt;&gt;"",1,0)</f>
        <v>0</v>
      </c>
      <c r="Y693" s="112" t="n">
        <f aca="false">Y692+IF(N537&lt;&gt;"",1,0)</f>
        <v>0</v>
      </c>
      <c r="Z693" s="324" t="n">
        <f aca="false">Z692+IF($N569&lt;&gt;"",1,0)</f>
        <v>0</v>
      </c>
      <c r="AA693" s="300" t="n">
        <f aca="false">IF($BY693&lt;=U$615,MATCH($BY693,U$617:U$737,0))</f>
        <v>0</v>
      </c>
      <c r="AB693" s="112" t="n">
        <f aca="false">IF($BY693&lt;=V$615,MATCH($BY693,V$617:V$737,0))</f>
        <v>0</v>
      </c>
      <c r="AC693" s="112" t="n">
        <f aca="false">IF($BY693&lt;=W$615,MATCH($BY693,W$617:W$737,0))</f>
        <v>0</v>
      </c>
      <c r="AD693" s="112" t="n">
        <f aca="false">IF($BY693&lt;=X$615,MATCH($BY693,X$617:X$737,0))</f>
        <v>0</v>
      </c>
      <c r="AE693" s="112" t="n">
        <f aca="false">IF($BY693&lt;=Y$615,MATCH($BY693,Y$617:Y$737,0))</f>
        <v>0</v>
      </c>
      <c r="AF693" s="324" t="n">
        <f aca="false">IF($BY693&lt;=Z$615,MATCH($BY693,Z$617:Z$737,0))</f>
        <v>0</v>
      </c>
      <c r="AG693" s="325" t="str">
        <f aca="true">IF(AND(AA693&lt;="",AP86=""),OFFSET(Spells!H$2,AA693,0),"")</f>
        <v>Effect</v>
      </c>
      <c r="AH693" s="325" t="str">
        <f aca="true">IF(AND(AB693&lt;="",AP86=""),OFFSET(Spells!R$2,AB693,0),"")</f>
        <v>Effect</v>
      </c>
      <c r="AI693" s="325" t="str">
        <f aca="true">IF(AND(AC693&lt;="",AP86=""),OFFSET(Spells!AB$2,AC693,0),"")</f>
        <v>Effect</v>
      </c>
      <c r="AJ693" s="326" t="str">
        <f aca="true">IF(AND(AD693&lt;="",AP86=""),OFFSET(Spells!AL$2,AD693,0),"")</f>
        <v>Effect</v>
      </c>
      <c r="AK693" s="326" t="str">
        <f aca="true">IF(AND(AE693&lt;="",AP86=""),OFFSET(Spells!AV$2,AE693,0),"")</f>
        <v>Effect</v>
      </c>
      <c r="AL693" s="325" t="str">
        <f aca="true">IF(AND(AF693&lt;="",AP84=""),OFFSET(Spells!$H$2,AF693,0),"")</f>
        <v>Effect</v>
      </c>
      <c r="AM693" s="56"/>
      <c r="AN693" s="42"/>
      <c r="AO693" s="42"/>
      <c r="AP693" s="42"/>
      <c r="AQ693" s="340"/>
      <c r="AR693" s="327" t="str">
        <f aca="false">T97&amp;IF(Z97&lt;&gt;"","("&amp;Z97&amp;")","")</f>
        <v>Haggle</v>
      </c>
      <c r="AS693" s="112" t="n">
        <f aca="false">X97</f>
        <v>2</v>
      </c>
      <c r="AT693" s="112" t="n">
        <f aca="true">OFFSET(CostSkill,AS693,0)-OFFSET(CostSkill,W97,0)</f>
        <v>500</v>
      </c>
      <c r="AU693" s="112" t="str">
        <f aca="false">Y97</f>
        <v>C</v>
      </c>
      <c r="AV693" s="112" t="n">
        <f aca="false">AV692+IF(AND(AR693&lt;&gt;" ",AS693&gt;0),1,0)</f>
        <v>13</v>
      </c>
      <c r="AW693" s="324"/>
      <c r="AX693" s="327" t="str">
        <f aca="false">IF(Discipline2&lt;&gt;"",HLOOKUP(Discipline2,knackfordic,BY648)," ")</f>
        <v>Mind Trick</v>
      </c>
      <c r="AY693" s="329" t="n">
        <f aca="false">IF(AX693&lt;&gt;" ",IF(ISERROR(MATCH(AX693,AX$621:AX$639,0)),MATCH(AX693,Talents!G$4:G$210)))</f>
        <v>124</v>
      </c>
      <c r="AZ693" s="329" t="str">
        <f aca="true">IF(AY693,OFFSET(Talents!H$2,Build!AY693,0)," ")</f>
        <v>Lip Reading</v>
      </c>
      <c r="BA693" s="112" t="n">
        <f aca="true">IF(AY693,OFFSET(Talents!J$2,Build!AY693,0)," ")</f>
        <v>1</v>
      </c>
      <c r="BB693" s="112" t="n">
        <f aca="true">IF(AY693,OFFSET(Talents!I$2,Build!AY693,0)," ")</f>
        <v>9</v>
      </c>
      <c r="BC693" s="112" t="n">
        <f aca="true">IF(AY693,OFFSET(Talents!K$1,Build!AY693,0)," ")</f>
        <v>3400</v>
      </c>
      <c r="BD693" s="112" t="e">
        <f aca="true">IF(AY693=0,0,IF(ISERROR(MATCH(AZ693,D$616:D$656,0)),OFFSET(E$656,MATCH(AZ693,D$657:D$697,0),0),IF(OFFSET(E$615,MATCH(AZ693,D$616:D$656,0),0)&gt;OFFSET(E$656,MATCH(AZ693,D$657:D$697,0),0),OFFSET(E$615,MATCH(AZ693,D$616:D$656,0),0),OFFSET(E$656,MATCH(AZ693,D$657:D$697,0),0))))</f>
        <v>#N/A</v>
      </c>
      <c r="BE693" s="112" t="n">
        <f aca="false">BE692+IF(ISERROR(BD693), 0, IF(BD693&gt;=BB693, 1, 0))</f>
        <v>21</v>
      </c>
      <c r="BF693" s="324" t="n">
        <f aca="false">IF($BY670&lt;=BF$615,MATCH(BY670,BE$617:BE$681,0))</f>
        <v>0</v>
      </c>
      <c r="BY693" s="333" t="n">
        <f aca="false">BY692+1</f>
        <v>77</v>
      </c>
      <c r="BZ693" s="329" t="str">
        <f aca="false">B265</f>
        <v>Flint and Steel</v>
      </c>
      <c r="CA693" s="112" t="n">
        <f aca="false">F265</f>
        <v>1</v>
      </c>
      <c r="CB693" s="112" t="n">
        <f aca="false">G265</f>
        <v>1</v>
      </c>
      <c r="CC693" s="112" t="n">
        <f aca="false">H265</f>
        <v>0.5</v>
      </c>
      <c r="CD693" s="329" t="e">
        <f aca="false">FIND(",",BZ693)</f>
        <v>#VALUE!</v>
      </c>
      <c r="CE693" s="329" t="str">
        <f aca="false">IF(ISERROR(CD693),BZ693,MID(BZ693,CD693+2,20)&amp;" "&amp;LEFT(BZ693,CD693-1))&amp;IF(ISERROR(VALUE(CA693)),"",IF(CA693&gt;1," ("&amp;CA693&amp;")",""))</f>
        <v>Flint and Steel</v>
      </c>
      <c r="CF693" s="329" t="n">
        <f aca="false">IF(CC693=" "," ",IF(ISERROR(VALUE(CA693)),CC693,CA693*CC693))</f>
        <v>0.5</v>
      </c>
      <c r="CG693" s="112" t="n">
        <f aca="false">CG692+IF(AND(BZ693&lt;&gt;0,CA693&lt;&gt;0),1,0)</f>
        <v>10</v>
      </c>
      <c r="CH693" s="112" t="n">
        <f aca="false">IF($BY693&lt;=CH$615,MATCH($BY693,CG$617:CG$863,0))</f>
        <v>0</v>
      </c>
    </row>
    <row r="694" s="32" customFormat="true" ht="12.75" hidden="false" customHeight="false" outlineLevel="0" collapsed="false">
      <c r="B694" s="279" t="n">
        <v>14</v>
      </c>
      <c r="C694" s="67" t="n">
        <f aca="false">AR54</f>
        <v>0</v>
      </c>
      <c r="D694" s="67" t="n">
        <f aca="false">IF(RIGHT(C694, 3)="(D)",LEFT(C694,LEN(C694)-4),C694)</f>
        <v>0</v>
      </c>
      <c r="E694" s="64" t="n">
        <f aca="false">W54</f>
        <v>0</v>
      </c>
      <c r="F694" s="182" t="n">
        <f aca="true">OFFSET(Cost_13_15,E694,0)</f>
        <v>0</v>
      </c>
      <c r="G694" s="64" t="e">
        <f aca="false">IF(C694&lt;&gt;" ",MATCH(D694,Talents!B$3:B$345,1),0)</f>
        <v>#N/A</v>
      </c>
      <c r="H694" s="64" t="e">
        <f aca="true">IF(G694=0," ",OFFSET(Talents!C$2,G694,0))</f>
        <v>#N/A</v>
      </c>
      <c r="I694" s="64" t="n">
        <f aca="false">IF(E694&gt;0,X54,0)</f>
        <v>0</v>
      </c>
      <c r="J694" s="64" t="e">
        <f aca="false">IF(H694&lt;&gt;" ",E694+VLOOKUP(H694,G$597:L$603,6,0)+I694," ")</f>
        <v>#N/A</v>
      </c>
      <c r="K694" s="64" t="e">
        <f aca="true">IF(J694&lt;&gt;" ",OFFSET(ActionDice,J694,0),"-")</f>
        <v>#N/A</v>
      </c>
      <c r="L694" s="67" t="n">
        <f aca="false">OR(RIGHT(C694, 3)="(D)", NOT(ISERROR(MATCH(D694&amp;" (D)", C$657:C$697, 0))))</f>
        <v>0</v>
      </c>
      <c r="M694" s="64" t="e">
        <f aca="true">IF(G694&gt;0,IF(L694,"D",OFFSET(Talents!D$2,G694,0))&amp;OFFSET(Talents!E$2,G694,0)," ")</f>
        <v>#N/A</v>
      </c>
      <c r="N694" s="64" t="n">
        <f aca="false">AND(Z54="",C694&lt;&gt;" ")</f>
        <v>0</v>
      </c>
      <c r="O694" s="300" t="n">
        <f aca="false">O693+IF(N693,1,0)</f>
        <v>18</v>
      </c>
      <c r="P694" s="324" t="n">
        <f aca="false">IF(Build!$BY694&lt;=Build!P$615,MATCH(Build!$BY694,Build!O$617:O$714,0))</f>
        <v>0</v>
      </c>
      <c r="S694" s="56"/>
      <c r="T694" s="56"/>
      <c r="U694" s="300" t="n">
        <f aca="false">U693+IF(N410&lt;&gt;"",1,0)</f>
        <v>0</v>
      </c>
      <c r="V694" s="112" t="n">
        <f aca="false">V693+IF(N442&lt;&gt;"",1,0)</f>
        <v>0</v>
      </c>
      <c r="W694" s="112" t="n">
        <f aca="false">W693+IF(N474&lt;&gt;"",1,0)</f>
        <v>0</v>
      </c>
      <c r="X694" s="112" t="n">
        <f aca="false">X693+IF(N506&lt;&gt;"",1,0)</f>
        <v>0</v>
      </c>
      <c r="Y694" s="112" t="n">
        <f aca="false">Y693+IF(N538&lt;&gt;"",1,0)</f>
        <v>0</v>
      </c>
      <c r="Z694" s="324" t="n">
        <f aca="false">Z693+IF($N570&lt;&gt;"",1,0)</f>
        <v>0</v>
      </c>
      <c r="AA694" s="300" t="n">
        <f aca="false">IF($BY694&lt;=U$615,MATCH($BY694,U$617:U$737,0))</f>
        <v>0</v>
      </c>
      <c r="AB694" s="112" t="n">
        <f aca="false">IF($BY694&lt;=V$615,MATCH($BY694,V$617:V$737,0))</f>
        <v>0</v>
      </c>
      <c r="AC694" s="112" t="n">
        <f aca="false">IF($BY694&lt;=W$615,MATCH($BY694,W$617:W$737,0))</f>
        <v>0</v>
      </c>
      <c r="AD694" s="112" t="n">
        <f aca="false">IF($BY694&lt;=X$615,MATCH($BY694,X$617:X$737,0))</f>
        <v>0</v>
      </c>
      <c r="AE694" s="112" t="n">
        <f aca="false">IF($BY694&lt;=Y$615,MATCH($BY694,Y$617:Y$737,0))</f>
        <v>0</v>
      </c>
      <c r="AF694" s="324" t="n">
        <f aca="false">IF($BY694&lt;=Z$615,MATCH($BY694,Z$617:Z$737,0))</f>
        <v>0</v>
      </c>
      <c r="AG694" s="325" t="str">
        <f aca="true">IF(AND(AA694&lt;="",AP87=""),OFFSET(Spells!H$2,AA694,0),"")</f>
        <v>Effect</v>
      </c>
      <c r="AH694" s="325" t="str">
        <f aca="true">IF(AND(AB694&lt;="",AP87=""),OFFSET(Spells!R$2,AB694,0),"")</f>
        <v>Effect</v>
      </c>
      <c r="AI694" s="325" t="str">
        <f aca="true">IF(AND(AC694&lt;="",AP87=""),OFFSET(Spells!AB$2,AC694,0),"")</f>
        <v>Effect</v>
      </c>
      <c r="AJ694" s="326" t="str">
        <f aca="true">IF(AND(AD694&lt;="",AP87=""),OFFSET(Spells!AL$2,AD694,0),"")</f>
        <v>Effect</v>
      </c>
      <c r="AK694" s="326" t="str">
        <f aca="true">IF(AND(AE694&lt;="",AP87=""),OFFSET(Spells!AV$2,AE694,0),"")</f>
        <v>Effect</v>
      </c>
      <c r="AL694" s="325" t="str">
        <f aca="true">IF(AND(AF694&lt;="",AP85=""),OFFSET(Spells!$H$2,AF694,0),"")</f>
        <v>Effect</v>
      </c>
      <c r="AM694" s="56"/>
      <c r="AN694" s="42"/>
      <c r="AO694" s="42"/>
      <c r="AP694" s="42"/>
      <c r="AQ694" s="340"/>
      <c r="AR694" s="327" t="str">
        <f aca="false">T98&amp;IF(Z98&lt;&gt;"","("&amp;Z98&amp;")","")</f>
        <v>Heartening Laugh</v>
      </c>
      <c r="AS694" s="112" t="n">
        <f aca="false">X98</f>
        <v>0</v>
      </c>
      <c r="AT694" s="112" t="n">
        <f aca="true">OFFSET(CostSkill,AS694,0)-OFFSET(CostSkill,W98,0)</f>
        <v>0</v>
      </c>
      <c r="AU694" s="112" t="str">
        <f aca="false">Y98</f>
        <v>C</v>
      </c>
      <c r="AV694" s="112" t="n">
        <f aca="false">AV693+IF(AND(AR694&lt;&gt;" ",AS694&gt;0),1,0)</f>
        <v>13</v>
      </c>
      <c r="AW694" s="324"/>
      <c r="AX694" s="327" t="str">
        <f aca="false">IF(Discipline2&lt;&gt;"",HLOOKUP(Discipline2,knackfordic,BY649)," ")</f>
        <v>Not so Fast</v>
      </c>
      <c r="AY694" s="329" t="n">
        <f aca="false">IF(AX694&lt;&gt;" ",IF(ISERROR(MATCH(AX694,AX$621:AX$639,0)),MATCH(AX694,Talents!G$4:G$210)))</f>
        <v>130</v>
      </c>
      <c r="AZ694" s="329" t="str">
        <f aca="true">IF(AY694,OFFSET(Talents!H$2,Build!AY694,0)," ")</f>
        <v>Bone Compass</v>
      </c>
      <c r="BA694" s="112" t="n">
        <f aca="true">IF(AY694,OFFSET(Talents!J$2,Build!AY694,0)," ")</f>
        <v>3</v>
      </c>
      <c r="BB694" s="112" t="n">
        <f aca="true">IF(AY694,OFFSET(Talents!I$2,Build!AY694,0)," ")</f>
        <v>10</v>
      </c>
      <c r="BC694" s="112" t="n">
        <f aca="true">IF(AY694,OFFSET(Talents!K$1,Build!AY694,0)," ")</f>
        <v>3400</v>
      </c>
      <c r="BD694" s="112" t="e">
        <f aca="true">IF(AY694=0,0,IF(ISERROR(MATCH(AZ694,D$616:D$656,0)),OFFSET(E$656,MATCH(AZ694,D$657:D$697,0),0),IF(OFFSET(E$615,MATCH(AZ694,D$616:D$656,0),0)&gt;OFFSET(E$656,MATCH(AZ694,D$657:D$697,0),0),OFFSET(E$615,MATCH(AZ694,D$616:D$656,0),0),OFFSET(E$656,MATCH(AZ694,D$657:D$697,0),0))))</f>
        <v>#N/A</v>
      </c>
      <c r="BE694" s="112" t="n">
        <f aca="false">BE693+IF(ISERROR(BD694), 0, IF(BD694&gt;=BB694, 1, 0))</f>
        <v>21</v>
      </c>
      <c r="BF694" s="324" t="n">
        <f aca="false">IF($BY671&lt;=BF$615,MATCH(BY671,BE$617:BE$681,0))</f>
        <v>0</v>
      </c>
      <c r="BY694" s="333" t="n">
        <f aca="false">BY693+1</f>
        <v>78</v>
      </c>
      <c r="BZ694" s="329" t="str">
        <f aca="false">B272</f>
        <v>Lantern, Bull's Eye</v>
      </c>
      <c r="CA694" s="112" t="n">
        <f aca="false">F272</f>
        <v>0</v>
      </c>
      <c r="CB694" s="112" t="n">
        <f aca="false">G272</f>
        <v>27</v>
      </c>
      <c r="CC694" s="112" t="n">
        <f aca="false">H272</f>
        <v>3</v>
      </c>
      <c r="CD694" s="329" t="n">
        <f aca="false">FIND(",",BZ694)</f>
        <v>8</v>
      </c>
      <c r="CE694" s="329" t="str">
        <f aca="false">IF(ISERROR(CD694),BZ694,MID(BZ694,CD694+2,20)&amp;" "&amp;LEFT(BZ694,CD694-1))&amp;IF(ISERROR(VALUE(CA694)),"",IF(CA694&gt;1," ("&amp;CA694&amp;")",""))</f>
        <v>Bull's Eye Lantern</v>
      </c>
      <c r="CF694" s="329" t="n">
        <f aca="false">IF(CC694=" "," ",IF(ISERROR(VALUE(CA694)),CC694,CA694*CC694))</f>
        <v>0</v>
      </c>
      <c r="CG694" s="112" t="n">
        <f aca="false">CG693+IF(AND(BZ694&lt;&gt;0,CA694&lt;&gt;0),1,0)</f>
        <v>10</v>
      </c>
      <c r="CH694" s="112" t="n">
        <f aca="false">IF($BY694&lt;=CH$615,MATCH($BY694,CG$617:CG$863,0))</f>
        <v>0</v>
      </c>
    </row>
    <row r="695" s="32" customFormat="true" ht="12.75" hidden="false" customHeight="false" outlineLevel="0" collapsed="false">
      <c r="B695" s="279" t="n">
        <v>15</v>
      </c>
      <c r="C695" s="67" t="str">
        <f aca="false">IF(AND(Discipline2&lt;&gt;"",Circle2&gt;=$B695),HLOOKUP(Discipline2,talentfordisc,1+BY655,0)," ")</f>
        <v> </v>
      </c>
      <c r="D695" s="67" t="str">
        <f aca="false">IF(RIGHT(C695, 3)="(D)",LEFT(C695,LEN(C695)-4),C695)</f>
        <v> </v>
      </c>
      <c r="E695" s="64" t="n">
        <f aca="false">W55</f>
        <v>0</v>
      </c>
      <c r="F695" s="182" t="n">
        <f aca="true">OFFSET(Cost_13_15,E695,0)</f>
        <v>0</v>
      </c>
      <c r="G695" s="64" t="n">
        <f aca="false">IF(C695&lt;&gt;" ",MATCH(D695,Talents!B$3:B$345,1),0)</f>
        <v>0</v>
      </c>
      <c r="H695" s="64" t="str">
        <f aca="true">IF(G695=0," ",OFFSET(Talents!C$2,G695,0))</f>
        <v> </v>
      </c>
      <c r="I695" s="64" t="n">
        <f aca="false">IF(E695&gt;0,X55,0)</f>
        <v>0</v>
      </c>
      <c r="J695" s="64" t="str">
        <f aca="false">IF(H695&lt;&gt;" ",E695+VLOOKUP(H695,G$597:L$603,6,0)+I695," ")</f>
        <v> </v>
      </c>
      <c r="K695" s="64" t="str">
        <f aca="true">IF(J695&lt;&gt;" ",OFFSET(ActionDice,J695,0),"-")</f>
        <v>-</v>
      </c>
      <c r="L695" s="67" t="n">
        <f aca="false">OR(RIGHT(C695, 3)="(D)", NOT(ISERROR(MATCH(D695&amp;" (D)", C$657:C$697, 0))))</f>
        <v>0</v>
      </c>
      <c r="M695" s="64" t="str">
        <f aca="true">IF(G695&gt;0,IF(L695,"D",OFFSET(Talents!D$2,G695,0))&amp;OFFSET(Talents!E$2,G695,0)," ")</f>
        <v> </v>
      </c>
      <c r="N695" s="64" t="n">
        <f aca="false">AND(Z55="",C695&lt;&gt;" ")</f>
        <v>0</v>
      </c>
      <c r="O695" s="300" t="n">
        <f aca="false">O694+IF(N694,1,0)</f>
        <v>18</v>
      </c>
      <c r="P695" s="324" t="n">
        <f aca="false">IF(Build!$BY695&lt;=Build!P$615,MATCH(Build!$BY695,Build!O$617:O$714,0))</f>
        <v>0</v>
      </c>
      <c r="S695" s="56"/>
      <c r="T695" s="56"/>
      <c r="U695" s="300" t="n">
        <f aca="false">U694+IF(N411&lt;&gt;"",1,0)</f>
        <v>0</v>
      </c>
      <c r="V695" s="112" t="n">
        <f aca="false">V694+IF(N443&lt;&gt;"",1,0)</f>
        <v>0</v>
      </c>
      <c r="W695" s="112" t="n">
        <f aca="false">W694+IF(N475&lt;&gt;"",1,0)</f>
        <v>0</v>
      </c>
      <c r="X695" s="112" t="n">
        <f aca="false">X694+IF(N507&lt;&gt;"",1,0)</f>
        <v>0</v>
      </c>
      <c r="Y695" s="112" t="n">
        <f aca="false">Y694+IF(N539&lt;&gt;"",1,0)</f>
        <v>0</v>
      </c>
      <c r="Z695" s="324" t="n">
        <f aca="false">Z694+IF($N571&lt;&gt;"",1,0)</f>
        <v>0</v>
      </c>
      <c r="AA695" s="300" t="n">
        <f aca="false">IF($BY695&lt;=U$615,MATCH($BY695,U$617:U$737,0))</f>
        <v>0</v>
      </c>
      <c r="AB695" s="112" t="n">
        <f aca="false">IF($BY695&lt;=V$615,MATCH($BY695,V$617:V$737,0))</f>
        <v>0</v>
      </c>
      <c r="AC695" s="112" t="n">
        <f aca="false">IF($BY695&lt;=W$615,MATCH($BY695,W$617:W$737,0))</f>
        <v>0</v>
      </c>
      <c r="AD695" s="112" t="n">
        <f aca="false">IF($BY695&lt;=X$615,MATCH($BY695,X$617:X$737,0))</f>
        <v>0</v>
      </c>
      <c r="AE695" s="112" t="n">
        <f aca="false">IF($BY695&lt;=Y$615,MATCH($BY695,Y$617:Y$737,0))</f>
        <v>0</v>
      </c>
      <c r="AF695" s="324" t="n">
        <f aca="false">IF($BY695&lt;=Z$615,MATCH($BY695,Z$617:Z$737,0))</f>
        <v>0</v>
      </c>
      <c r="AG695" s="325" t="str">
        <f aca="true">IF(AND(AA695&lt;="",AP88=""),OFFSET(Spells!H$2,AA695,0),"")</f>
        <v>Effect</v>
      </c>
      <c r="AH695" s="325" t="str">
        <f aca="true">IF(AND(AB695&lt;="",AP88=""),OFFSET(Spells!R$2,AB695,0),"")</f>
        <v>Effect</v>
      </c>
      <c r="AI695" s="325" t="str">
        <f aca="true">IF(AND(AC695&lt;="",AP88=""),OFFSET(Spells!AB$2,AC695,0),"")</f>
        <v>Effect</v>
      </c>
      <c r="AJ695" s="326" t="str">
        <f aca="true">IF(AND(AD695&lt;="",AP88=""),OFFSET(Spells!AL$2,AD695,0),"")</f>
        <v>Effect</v>
      </c>
      <c r="AK695" s="326" t="str">
        <f aca="true">IF(AND(AE695&lt;="",AP88=""),OFFSET(Spells!AV$2,AE695,0),"")</f>
        <v>Effect</v>
      </c>
      <c r="AL695" s="325" t="str">
        <f aca="true">IF(AND(AF695&lt;="",AP86=""),OFFSET(Spells!$H$2,AF695,0),"")</f>
        <v>Effect</v>
      </c>
      <c r="AM695" s="56"/>
      <c r="AN695" s="42"/>
      <c r="AO695" s="42"/>
      <c r="AP695" s="42"/>
      <c r="AQ695" s="340"/>
      <c r="AR695" s="327" t="str">
        <f aca="false">T99&amp;IF(Z99&lt;&gt;"","("&amp;Z99&amp;")","")</f>
        <v>Hunting</v>
      </c>
      <c r="AS695" s="112" t="n">
        <f aca="false">X99</f>
        <v>0</v>
      </c>
      <c r="AT695" s="112" t="n">
        <f aca="true">OFFSET(CostSkill,AS695,0)-OFFSET(CostSkill,W99,0)</f>
        <v>0</v>
      </c>
      <c r="AU695" s="112" t="str">
        <f aca="false">Y99</f>
        <v>D</v>
      </c>
      <c r="AV695" s="112" t="n">
        <f aca="false">AV694+IF(AND(AR695&lt;&gt;" ",AS695&gt;0),1,0)</f>
        <v>13</v>
      </c>
      <c r="AW695" s="324"/>
      <c r="AX695" s="327" t="str">
        <f aca="false">IF(Discipline2&lt;&gt;"",HLOOKUP(Discipline2,knackfordic,BY650)," ")</f>
        <v>Offguard</v>
      </c>
      <c r="AY695" s="329" t="n">
        <f aca="false">IF(AX695&lt;&gt;" ",IF(ISERROR(MATCH(AX695,AX$621:AX$639,0)),MATCH(AX695,Talents!G$4:G$210)))</f>
        <v>131</v>
      </c>
      <c r="AZ695" s="329" t="str">
        <f aca="true">IF(AY695,OFFSET(Talents!H$2,Build!AY695,0)," ")</f>
        <v>Fast Hand</v>
      </c>
      <c r="BA695" s="112" t="n">
        <f aca="true">IF(AY695,OFFSET(Talents!J$2,Build!AY695,0)," ")</f>
        <v>2</v>
      </c>
      <c r="BB695" s="112" t="n">
        <f aca="true">IF(AY695,OFFSET(Talents!I$2,Build!AY695,0)," ")</f>
        <v>5</v>
      </c>
      <c r="BC695" s="112" t="n">
        <f aca="true">IF(AY695,OFFSET(Talents!K$1,Build!AY695,0)," ")</f>
        <v>61000</v>
      </c>
      <c r="BD695" s="112" t="e">
        <f aca="true">IF(AY695=0,0,IF(ISERROR(MATCH(AZ695,D$616:D$656,0)),OFFSET(E$656,MATCH(AZ695,D$657:D$697,0),0),IF(OFFSET(E$615,MATCH(AZ695,D$616:D$656,0),0)&gt;OFFSET(E$656,MATCH(AZ695,D$657:D$697,0),0),OFFSET(E$615,MATCH(AZ695,D$616:D$656,0),0),OFFSET(E$656,MATCH(AZ695,D$657:D$697,0),0))))</f>
        <v>#N/A</v>
      </c>
      <c r="BE695" s="112" t="n">
        <f aca="false">BE694+IF(ISERROR(BD695), 0, IF(BD695&gt;=BB695, 1, 0))</f>
        <v>21</v>
      </c>
      <c r="BF695" s="324" t="n">
        <f aca="false">IF($BY672&lt;=BF$615,MATCH(BY672,BE$617:BE$681,0))</f>
        <v>0</v>
      </c>
      <c r="BY695" s="333" t="n">
        <f aca="false">BY694+1</f>
        <v>79</v>
      </c>
      <c r="BZ695" s="329" t="str">
        <f aca="false">B273</f>
        <v>Lantern, Light Quartz</v>
      </c>
      <c r="CA695" s="112" t="n">
        <f aca="false">F273</f>
        <v>1</v>
      </c>
      <c r="CB695" s="112" t="n">
        <f aca="false">G273</f>
        <v>85</v>
      </c>
      <c r="CC695" s="112" t="n">
        <f aca="false">H273</f>
        <v>5</v>
      </c>
      <c r="CD695" s="329" t="n">
        <f aca="false">FIND(",",BZ695)</f>
        <v>8</v>
      </c>
      <c r="CE695" s="329" t="str">
        <f aca="false">IF(ISERROR(CD695),BZ695,MID(BZ695,CD695+2,20)&amp;" "&amp;LEFT(BZ695,CD695-1))&amp;IF(ISERROR(VALUE(CA695)),"",IF(CA695&gt;1," ("&amp;CA695&amp;")",""))</f>
        <v>Light Quartz Lantern</v>
      </c>
      <c r="CF695" s="329" t="n">
        <f aca="false">IF(CC695=" "," ",IF(ISERROR(VALUE(CA695)),CC695,CA695*CC695))</f>
        <v>5</v>
      </c>
      <c r="CG695" s="112" t="n">
        <f aca="false">CG694+IF(AND(BZ695&lt;&gt;0,CA695&lt;&gt;0),1,0)</f>
        <v>11</v>
      </c>
      <c r="CH695" s="112" t="n">
        <f aca="false">IF($BY695&lt;=CH$615,MATCH($BY695,CG$617:CG$863,0))</f>
        <v>0</v>
      </c>
    </row>
    <row r="696" s="32" customFormat="true" ht="12.75" hidden="false" customHeight="false" outlineLevel="0" collapsed="false">
      <c r="B696" s="279" t="n">
        <v>15</v>
      </c>
      <c r="C696" s="67" t="n">
        <f aca="false">AR56</f>
        <v>0</v>
      </c>
      <c r="D696" s="67" t="n">
        <f aca="false">IF(RIGHT(C696, 3)="(D)",LEFT(C696,LEN(C696)-4),C696)</f>
        <v>0</v>
      </c>
      <c r="E696" s="64" t="n">
        <f aca="false">W56</f>
        <v>0</v>
      </c>
      <c r="F696" s="182" t="n">
        <f aca="true">OFFSET(Cost_13_15,E696,0)</f>
        <v>0</v>
      </c>
      <c r="G696" s="64" t="e">
        <f aca="false">IF(C696&lt;&gt;" ",MATCH(D696,Talents!B$3:B$345,1),0)</f>
        <v>#N/A</v>
      </c>
      <c r="H696" s="64" t="e">
        <f aca="true">IF(G696=0," ",OFFSET(Talents!C$2,G696,0))</f>
        <v>#N/A</v>
      </c>
      <c r="I696" s="64" t="n">
        <f aca="false">IF(E696&gt;0,X56,0)</f>
        <v>0</v>
      </c>
      <c r="J696" s="64" t="e">
        <f aca="false">IF(H696&lt;&gt;" ",E696+VLOOKUP(H696,G$597:L$603,6,0)+I696," ")</f>
        <v>#N/A</v>
      </c>
      <c r="K696" s="64" t="e">
        <f aca="true">IF(J696&lt;&gt;" ",OFFSET(ActionDice,J696,0),"-")</f>
        <v>#N/A</v>
      </c>
      <c r="L696" s="67" t="n">
        <f aca="false">OR(RIGHT(C696, 3)="(D)", NOT(ISERROR(MATCH(D696&amp;" (D)", C$657:C$697, 0))))</f>
        <v>0</v>
      </c>
      <c r="M696" s="64" t="e">
        <f aca="true">IF(G696&gt;0,IF(L696,"D",OFFSET(Talents!D$2,G696,0))&amp;OFFSET(Talents!E$2,G696,0)," ")</f>
        <v>#N/A</v>
      </c>
      <c r="N696" s="64" t="n">
        <f aca="false">AND(Z56="",C696&lt;&gt;" ")</f>
        <v>0</v>
      </c>
      <c r="O696" s="300" t="n">
        <f aca="false">O695+IF(N695,1,0)</f>
        <v>18</v>
      </c>
      <c r="P696" s="324" t="n">
        <f aca="false">IF(Build!$BY696&lt;=Build!P$615,MATCH(Build!$BY696,Build!O$617:O$714,0))</f>
        <v>0</v>
      </c>
      <c r="S696" s="56"/>
      <c r="T696" s="56"/>
      <c r="U696" s="300" t="n">
        <f aca="false">U695+IF(N412&lt;&gt;"",1,0)</f>
        <v>0</v>
      </c>
      <c r="V696" s="112" t="n">
        <f aca="false">V695+IF(N444&lt;&gt;"",1,0)</f>
        <v>0</v>
      </c>
      <c r="W696" s="112" t="n">
        <f aca="false">W695+IF(N476&lt;&gt;"",1,0)</f>
        <v>0</v>
      </c>
      <c r="X696" s="112" t="n">
        <f aca="false">X695+IF(N508&lt;&gt;"",1,0)</f>
        <v>0</v>
      </c>
      <c r="Y696" s="112" t="n">
        <f aca="false">Y695+IF(N540&lt;&gt;"",1,0)</f>
        <v>0</v>
      </c>
      <c r="Z696" s="324" t="n">
        <f aca="false">Z695+IF($N572&lt;&gt;"",1,0)</f>
        <v>0</v>
      </c>
      <c r="AA696" s="300" t="n">
        <f aca="false">IF($BY696&lt;=U$615,MATCH($BY696,U$617:U$737,0))</f>
        <v>0</v>
      </c>
      <c r="AB696" s="112" t="n">
        <f aca="false">IF($BY696&lt;=V$615,MATCH($BY696,V$617:V$737,0))</f>
        <v>0</v>
      </c>
      <c r="AC696" s="112" t="n">
        <f aca="false">IF($BY696&lt;=W$615,MATCH($BY696,W$617:W$737,0))</f>
        <v>0</v>
      </c>
      <c r="AD696" s="112" t="n">
        <f aca="false">IF($BY696&lt;=X$615,MATCH($BY696,X$617:X$737,0))</f>
        <v>0</v>
      </c>
      <c r="AE696" s="112" t="n">
        <f aca="false">IF($BY696&lt;=Y$615,MATCH($BY696,Y$617:Y$737,0))</f>
        <v>0</v>
      </c>
      <c r="AF696" s="324" t="n">
        <f aca="false">IF($BY696&lt;=Z$615,MATCH($BY696,Z$617:Z$737,0))</f>
        <v>0</v>
      </c>
      <c r="AG696" s="325" t="str">
        <f aca="true">IF(AND(AA696&lt;="",AP89=""),OFFSET(Spells!H$2,AA696,0),"")</f>
        <v>Effect</v>
      </c>
      <c r="AH696" s="325" t="str">
        <f aca="true">IF(AND(AB696&lt;="",AP89=""),OFFSET(Spells!R$2,AB696,0),"")</f>
        <v>Effect</v>
      </c>
      <c r="AI696" s="325" t="str">
        <f aca="true">IF(AND(AC696&lt;="",AP89=""),OFFSET(Spells!AB$2,AC696,0),"")</f>
        <v>Effect</v>
      </c>
      <c r="AJ696" s="326" t="str">
        <f aca="true">IF(AND(AD696&lt;="",AP89=""),OFFSET(Spells!AL$2,AD696,0),"")</f>
        <v>Effect</v>
      </c>
      <c r="AK696" s="326" t="str">
        <f aca="true">IF(AND(AE696&lt;="",AP89=""),OFFSET(Spells!AV$2,AE696,0),"")</f>
        <v>Effect</v>
      </c>
      <c r="AL696" s="325" t="str">
        <f aca="true">IF(AND(AF696&lt;="",AP87=""),OFFSET(Spells!$H$2,AF696,0),"")</f>
        <v>Effect</v>
      </c>
      <c r="AM696" s="56"/>
      <c r="AN696" s="42"/>
      <c r="AO696" s="42"/>
      <c r="AP696" s="42"/>
      <c r="AQ696" s="340"/>
      <c r="AR696" s="327" t="str">
        <f aca="false">T100&amp;IF(Z100&lt;&gt;"","("&amp;Z100&amp;")","")</f>
        <v>Hypnotize</v>
      </c>
      <c r="AS696" s="112" t="n">
        <f aca="false">X100</f>
        <v>1</v>
      </c>
      <c r="AT696" s="112" t="n">
        <f aca="true">OFFSET(CostSkill,AS696,0)-OFFSET(CostSkill,W100,0)</f>
        <v>200</v>
      </c>
      <c r="AU696" s="112" t="str">
        <f aca="false">Y100</f>
        <v>C</v>
      </c>
      <c r="AV696" s="112" t="n">
        <f aca="false">AV695+IF(AND(AR696&lt;&gt;" ",AS696&gt;0),1,0)</f>
        <v>14</v>
      </c>
      <c r="AW696" s="324"/>
      <c r="AX696" s="327" t="str">
        <f aca="false">IF(Discipline2&lt;&gt;"",HLOOKUP(Discipline2,knackfordic,BY651)," ")</f>
        <v>Pin Up</v>
      </c>
      <c r="AY696" s="329" t="n">
        <f aca="false">IF(AX696&lt;&gt;" ",IF(ISERROR(MATCH(AX696,AX$621:AX$639,0)),MATCH(AX696,Talents!G$4:G$210)))</f>
        <v>135</v>
      </c>
      <c r="AZ696" s="329" t="str">
        <f aca="true">IF(AY696,OFFSET(Talents!H$2,Build!AY696,0)," ")</f>
        <v>Unarmed Combat</v>
      </c>
      <c r="BA696" s="112" t="n">
        <f aca="true">IF(AY696,OFFSET(Talents!J$2,Build!AY696,0)," ")</f>
        <v>2</v>
      </c>
      <c r="BB696" s="112" t="n">
        <f aca="true">IF(AY696,OFFSET(Talents!I$2,Build!AY696,0)," ")</f>
        <v>5</v>
      </c>
      <c r="BC696" s="112" t="n">
        <f aca="true">IF(AY696,OFFSET(Talents!K$1,Build!AY696,0)," ")</f>
        <v>8900</v>
      </c>
      <c r="BD696" s="112" t="e">
        <f aca="true">IF(AY696=0,0,IF(ISERROR(MATCH(AZ696,D$616:D$656,0)),OFFSET(E$656,MATCH(AZ696,D$657:D$697,0),0),IF(OFFSET(E$615,MATCH(AZ696,D$616:D$656,0),0)&gt;OFFSET(E$656,MATCH(AZ696,D$657:D$697,0),0),OFFSET(E$615,MATCH(AZ696,D$616:D$656,0),0),OFFSET(E$656,MATCH(AZ696,D$657:D$697,0),0))))</f>
        <v>#N/A</v>
      </c>
      <c r="BE696" s="112" t="n">
        <f aca="false">BE695+IF(ISERROR(BD696), 0, IF(BD696&gt;=BB696, 1, 0))</f>
        <v>21</v>
      </c>
      <c r="BF696" s="324" t="n">
        <f aca="false">IF($BY673&lt;=BF$615,MATCH(BY673,BE$617:BE$681,0))</f>
        <v>0</v>
      </c>
      <c r="BY696" s="333" t="n">
        <f aca="false">BY695+1</f>
        <v>80</v>
      </c>
      <c r="BZ696" s="329" t="str">
        <f aca="false">B274</f>
        <v>Map/scroll Case</v>
      </c>
      <c r="CA696" s="112" t="n">
        <f aca="false">F274</f>
        <v>1</v>
      </c>
      <c r="CB696" s="112" t="n">
        <f aca="false">G274</f>
        <v>0.8</v>
      </c>
      <c r="CC696" s="112" t="n">
        <f aca="false">H274</f>
        <v>1</v>
      </c>
      <c r="CD696" s="329" t="e">
        <f aca="false">FIND(",",BZ696)</f>
        <v>#VALUE!</v>
      </c>
      <c r="CE696" s="329" t="str">
        <f aca="false">IF(ISERROR(CD696),BZ696,MID(BZ696,CD696+2,20)&amp;" "&amp;LEFT(BZ696,CD696-1))&amp;IF(ISERROR(VALUE(CA696)),"",IF(CA696&gt;1," ("&amp;CA696&amp;")",""))</f>
        <v>Map/scroll Case</v>
      </c>
      <c r="CF696" s="329" t="n">
        <f aca="false">IF(CC696=" "," ",IF(ISERROR(VALUE(CA696)),CC696,CA696*CC696))</f>
        <v>1</v>
      </c>
      <c r="CG696" s="112" t="n">
        <f aca="false">CG695+IF(AND(BZ696&lt;&gt;0,CA696&lt;&gt;0),1,0)</f>
        <v>12</v>
      </c>
      <c r="CH696" s="112" t="n">
        <f aca="false">IF($BY696&lt;=CH$615,MATCH($BY696,CG$617:CG$863,0))</f>
        <v>0</v>
      </c>
    </row>
    <row r="697" s="32" customFormat="true" ht="12.75" hidden="false" customHeight="false" outlineLevel="0" collapsed="false">
      <c r="B697" s="279" t="n">
        <v>15</v>
      </c>
      <c r="C697" s="67" t="n">
        <f aca="false">AR57</f>
        <v>0</v>
      </c>
      <c r="D697" s="67" t="n">
        <f aca="false">IF(RIGHT(C697, 3)="(D)",LEFT(C697,LEN(C697)-4),C697)</f>
        <v>0</v>
      </c>
      <c r="E697" s="64" t="n">
        <f aca="false">W57</f>
        <v>0</v>
      </c>
      <c r="F697" s="182" t="n">
        <f aca="true">OFFSET(Cost_13_15,E697,0)</f>
        <v>0</v>
      </c>
      <c r="G697" s="64" t="e">
        <f aca="false">IF(C697&lt;&gt;" ",MATCH(D697,Talents!B$3:B$345,1),0)</f>
        <v>#N/A</v>
      </c>
      <c r="H697" s="64" t="e">
        <f aca="true">IF(G697=0," ",OFFSET(Talents!C$2,G697,0))</f>
        <v>#N/A</v>
      </c>
      <c r="I697" s="64" t="n">
        <f aca="false">IF(E697&gt;0,X57,0)</f>
        <v>0</v>
      </c>
      <c r="J697" s="64" t="e">
        <f aca="false">IF(H697&lt;&gt;" ",E697+VLOOKUP(H697,G$597:L$603,6,0)+I697," ")</f>
        <v>#N/A</v>
      </c>
      <c r="K697" s="64" t="e">
        <f aca="true">IF(J697&lt;&gt;" ",OFFSET(ActionDice,J697,0),"-")</f>
        <v>#N/A</v>
      </c>
      <c r="L697" s="67" t="n">
        <f aca="false">OR(RIGHT(C697, 3)="(D)", NOT(ISERROR(MATCH(D697&amp;" (D)", C$657:C$697, 0))))</f>
        <v>0</v>
      </c>
      <c r="M697" s="64" t="e">
        <f aca="true">IF(G697&gt;0,IF(L697,"D",OFFSET(Talents!D$2,G697,0))&amp;OFFSET(Talents!E$2,G697,0)," ")</f>
        <v>#N/A</v>
      </c>
      <c r="N697" s="64" t="n">
        <f aca="false">AND(Z57="",C697&lt;&gt;" ")</f>
        <v>0</v>
      </c>
      <c r="O697" s="300" t="n">
        <f aca="false">O696+IF(N696,1,0)</f>
        <v>18</v>
      </c>
      <c r="P697" s="324" t="n">
        <f aca="false">IF(Build!$BY697&lt;=Build!P$615,MATCH(Build!$BY697,Build!O$617:O$714,0))</f>
        <v>0</v>
      </c>
      <c r="S697" s="56"/>
      <c r="T697" s="56"/>
      <c r="U697" s="300" t="n">
        <f aca="false">U696+IF(N413&lt;&gt;"",1,0)</f>
        <v>0</v>
      </c>
      <c r="V697" s="112" t="n">
        <f aca="false">V696+IF(N445&lt;&gt;"",1,0)</f>
        <v>0</v>
      </c>
      <c r="W697" s="112" t="n">
        <f aca="false">W696+IF(N477&lt;&gt;"",1,0)</f>
        <v>0</v>
      </c>
      <c r="X697" s="112" t="n">
        <f aca="false">X696+IF(N509&lt;&gt;"",1,0)</f>
        <v>0</v>
      </c>
      <c r="Y697" s="112" t="n">
        <f aca="false">Y696+IF(N541&lt;&gt;"",1,0)</f>
        <v>0</v>
      </c>
      <c r="Z697" s="324" t="n">
        <f aca="false">Z696+IF($N573&lt;&gt;"",1,0)</f>
        <v>0</v>
      </c>
      <c r="AA697" s="300" t="n">
        <f aca="false">IF($BY697&lt;=U$615,MATCH($BY697,U$617:U$737,0))</f>
        <v>0</v>
      </c>
      <c r="AB697" s="112" t="n">
        <f aca="false">IF($BY697&lt;=V$615,MATCH($BY697,V$617:V$737,0))</f>
        <v>0</v>
      </c>
      <c r="AC697" s="112" t="n">
        <f aca="false">IF($BY697&lt;=W$615,MATCH($BY697,W$617:W$737,0))</f>
        <v>0</v>
      </c>
      <c r="AD697" s="112" t="n">
        <f aca="false">IF($BY697&lt;=X$615,MATCH($BY697,X$617:X$737,0))</f>
        <v>0</v>
      </c>
      <c r="AE697" s="112" t="n">
        <f aca="false">IF($BY697&lt;=Y$615,MATCH($BY697,Y$617:Y$737,0))</f>
        <v>0</v>
      </c>
      <c r="AF697" s="324" t="n">
        <f aca="false">IF($BY697&lt;=Z$615,MATCH($BY697,Z$617:Z$737,0))</f>
        <v>0</v>
      </c>
      <c r="AG697" s="325" t="str">
        <f aca="true">IF(AND(AA697&lt;="",AP90=""),OFFSET(Spells!H$2,AA697,0),"")</f>
        <v>Effect</v>
      </c>
      <c r="AH697" s="325" t="str">
        <f aca="true">IF(AND(AB697&lt;="",AP90=""),OFFSET(Spells!R$2,AB697,0),"")</f>
        <v>Effect</v>
      </c>
      <c r="AI697" s="325" t="str">
        <f aca="true">IF(AND(AC697&lt;="",AP90=""),OFFSET(Spells!AB$2,AC697,0),"")</f>
        <v>Effect</v>
      </c>
      <c r="AJ697" s="326" t="str">
        <f aca="true">IF(AND(AD697&lt;="",AP90=""),OFFSET(Spells!AL$2,AD697,0),"")</f>
        <v>Effect</v>
      </c>
      <c r="AK697" s="326" t="str">
        <f aca="true">IF(AND(AE697&lt;="",AP90=""),OFFSET(Spells!AV$2,AE697,0),"")</f>
        <v>Effect</v>
      </c>
      <c r="AL697" s="325" t="str">
        <f aca="true">IF(AND(AF697&lt;="",AP88=""),OFFSET(Spells!$H$2,AF697,0),"")</f>
        <v>Effect</v>
      </c>
      <c r="AM697" s="56"/>
      <c r="AN697" s="42"/>
      <c r="AO697" s="42"/>
      <c r="AP697" s="42"/>
      <c r="AQ697" s="340"/>
      <c r="AR697" s="327" t="str">
        <f aca="false">T101&amp;IF(Z101&lt;&gt;"","("&amp;Z101&amp;")","")</f>
        <v>Impress</v>
      </c>
      <c r="AS697" s="112" t="n">
        <f aca="false">X101</f>
        <v>0</v>
      </c>
      <c r="AT697" s="112" t="n">
        <f aca="true">OFFSET(CostSkill,AS697,0)-OFFSET(CostSkill,W101,0)</f>
        <v>0</v>
      </c>
      <c r="AU697" s="112" t="str">
        <f aca="false">Y101</f>
        <v>C</v>
      </c>
      <c r="AV697" s="112" t="n">
        <f aca="false">AV696+IF(AND(AR697&lt;&gt;" ",AS697&gt;0),1,0)</f>
        <v>14</v>
      </c>
      <c r="AW697" s="324"/>
      <c r="AX697" s="327" t="str">
        <f aca="false">IF(Discipline2&lt;&gt;"",HLOOKUP(Discipline2,knackfordic,BY652)," ")</f>
        <v>Placed Throw</v>
      </c>
      <c r="AY697" s="329" t="n">
        <f aca="false">IF(AX697&lt;&gt;" ",IF(ISERROR(MATCH(AX697,AX$621:AX$639,0)),MATCH(AX697,Talents!G$4:G$210)))</f>
        <v>137</v>
      </c>
      <c r="AZ697" s="329" t="str">
        <f aca="true">IF(AY697,OFFSET(Talents!H$2,Build!AY697,0)," ")</f>
        <v>Missile Weapons</v>
      </c>
      <c r="BA697" s="112" t="str">
        <f aca="true">IF(AY697,OFFSET(Talents!J$2,Build!AY697,0)," ")</f>
        <v>2/attk</v>
      </c>
      <c r="BB697" s="112" t="n">
        <f aca="true">IF(AY697,OFFSET(Talents!I$2,Build!AY697,0)," ")</f>
        <v>5</v>
      </c>
      <c r="BC697" s="112" t="n">
        <f aca="true">IF(AY697,OFFSET(Talents!K$1,Build!AY697,0)," ")</f>
        <v>3400</v>
      </c>
      <c r="BD697" s="112" t="e">
        <f aca="true">IF(AY697=0,0,IF(ISERROR(MATCH(AZ697,D$616:D$656,0)),OFFSET(E$656,MATCH(AZ697,D$657:D$697,0),0),IF(OFFSET(E$615,MATCH(AZ697,D$616:D$656,0),0)&gt;OFFSET(E$656,MATCH(AZ697,D$657:D$697,0),0),OFFSET(E$615,MATCH(AZ697,D$616:D$656,0),0),OFFSET(E$656,MATCH(AZ697,D$657:D$697,0),0))))</f>
        <v>#N/A</v>
      </c>
      <c r="BE697" s="112" t="n">
        <f aca="false">BE696+IF(ISERROR(BD697), 0, IF(BD697&gt;=BB697, 1, 0))</f>
        <v>21</v>
      </c>
      <c r="BF697" s="324" t="n">
        <f aca="false">IF($BY674&lt;=BF$615,MATCH(BY674,BE$617:BE$681,0))</f>
        <v>0</v>
      </c>
      <c r="BY697" s="333" t="n">
        <f aca="false">BY696+1</f>
        <v>81</v>
      </c>
      <c r="BZ697" s="329" t="str">
        <f aca="false">B275</f>
        <v>Oil flask</v>
      </c>
      <c r="CA697" s="112" t="n">
        <f aca="false">F275</f>
        <v>0</v>
      </c>
      <c r="CB697" s="112" t="n">
        <f aca="false">G275</f>
        <v>6</v>
      </c>
      <c r="CC697" s="112" t="n">
        <f aca="false">H275</f>
        <v>1</v>
      </c>
      <c r="CD697" s="329" t="e">
        <f aca="false">FIND(",",BZ697)</f>
        <v>#VALUE!</v>
      </c>
      <c r="CE697" s="329" t="str">
        <f aca="false">IF(ISERROR(CD697),BZ697,MID(BZ697,CD697+2,20)&amp;" "&amp;LEFT(BZ697,CD697-1))&amp;IF(ISERROR(VALUE(CA697)),"",IF(CA697&gt;1," ("&amp;CA697&amp;")",""))</f>
        <v>Oil flask</v>
      </c>
      <c r="CF697" s="329" t="n">
        <f aca="false">IF(CC697=" "," ",IF(ISERROR(VALUE(CA697)),CC697,CA697*CC697))</f>
        <v>0</v>
      </c>
      <c r="CG697" s="112" t="n">
        <f aca="false">CG696+IF(AND(BZ697&lt;&gt;0,CA697&lt;&gt;0),1,0)</f>
        <v>12</v>
      </c>
      <c r="CH697" s="112" t="n">
        <f aca="false">IF($BY697&lt;=CH$615,MATCH($BY697,CG$617:CG$863,0))</f>
        <v>0</v>
      </c>
    </row>
    <row r="698" s="32" customFormat="true" ht="12.75" hidden="false" customHeight="false" outlineLevel="0" collapsed="false">
      <c r="B698" s="342" t="s">
        <v>189</v>
      </c>
      <c r="C698" s="67" t="str">
        <f aca="false">IF(Race="Human","Versatility","")</f>
        <v>Versatility</v>
      </c>
      <c r="D698" s="67" t="str">
        <f aca="false">C698</f>
        <v>Versatility</v>
      </c>
      <c r="E698" s="64" t="n">
        <f aca="false">O17</f>
        <v>5</v>
      </c>
      <c r="F698" s="182" t="n">
        <f aca="true">IF(D698=" "," ",OFFSET(Cost_1_4,E698,0))</f>
        <v>1900</v>
      </c>
      <c r="G698" s="64" t="n">
        <f aca="false">IF(C698&lt;&gt;" ",MATCH(D698,Talents!B$3:B$345,0),0)</f>
        <v>315</v>
      </c>
      <c r="H698" s="64" t="str">
        <f aca="true">IF(G698=0," ",OFFSET(Talents!C$2,G698,0))</f>
        <v> </v>
      </c>
      <c r="I698" s="64" t="n">
        <f aca="false">IF(E698&gt;=0,P17,0)</f>
        <v>0</v>
      </c>
      <c r="J698" s="64" t="str">
        <f aca="false">IF(H698&lt;&gt;" ",E698+VLOOKUP(H698,G$597:L$603,6,0)+I698," ")</f>
        <v> </v>
      </c>
      <c r="K698" s="64" t="str">
        <f aca="true">IF(J698&lt;&gt;" ",OFFSET(ActionDice,J698,0),"-")</f>
        <v>-</v>
      </c>
      <c r="L698" s="67" t="n">
        <f aca="false">OR(RIGHT(C698, 3)="(D)", NOT(ISERROR(MATCH(D698&amp;" (D)", C$657:C$697, 0))))</f>
        <v>0</v>
      </c>
      <c r="M698" s="64" t="str">
        <f aca="true">IF(G698&gt;0,IF(L698,"D",OFFSET(Talents!D$2,G698,0))&amp;OFFSET(Talents!E$2,G698,0)," ")</f>
        <v>-/-/-</v>
      </c>
      <c r="N698" s="64" t="n">
        <f aca="false">(Race=Human)</f>
        <v>1</v>
      </c>
      <c r="O698" s="300" t="n">
        <f aca="false">O697+IF(N697,1,0)</f>
        <v>18</v>
      </c>
      <c r="P698" s="324" t="n">
        <f aca="false">IF(Build!$BY698&lt;=Build!P$615,MATCH(Build!$BY698,Build!O$617:O$714,0))</f>
        <v>0</v>
      </c>
      <c r="S698" s="56"/>
      <c r="T698" s="56"/>
      <c r="U698" s="300" t="n">
        <f aca="false">U697+IF(N414&lt;&gt;"",1,0)</f>
        <v>0</v>
      </c>
      <c r="V698" s="112" t="n">
        <f aca="false">V697+IF(N446&lt;&gt;"",1,0)</f>
        <v>0</v>
      </c>
      <c r="W698" s="112" t="n">
        <f aca="false">W697+IF(N478&lt;&gt;"",1,0)</f>
        <v>0</v>
      </c>
      <c r="X698" s="112" t="n">
        <f aca="false">X697+IF(N510&lt;&gt;"",1,0)</f>
        <v>0</v>
      </c>
      <c r="Y698" s="112" t="n">
        <f aca="false">Y697+IF(N542&lt;&gt;"",1,0)</f>
        <v>0</v>
      </c>
      <c r="Z698" s="324" t="n">
        <f aca="false">Z697+IF($N574&lt;&gt;"",1,0)</f>
        <v>0</v>
      </c>
      <c r="AA698" s="300" t="n">
        <f aca="false">IF($BY698&lt;=U$615,MATCH($BY698,U$617:U$737,0))</f>
        <v>0</v>
      </c>
      <c r="AB698" s="112" t="n">
        <f aca="false">IF($BY698&lt;=V$615,MATCH($BY698,V$617:V$737,0))</f>
        <v>0</v>
      </c>
      <c r="AC698" s="112" t="n">
        <f aca="false">IF($BY698&lt;=W$615,MATCH($BY698,W$617:W$737,0))</f>
        <v>0</v>
      </c>
      <c r="AD698" s="112" t="n">
        <f aca="false">IF($BY698&lt;=X$615,MATCH($BY698,X$617:X$737,0))</f>
        <v>0</v>
      </c>
      <c r="AE698" s="112" t="n">
        <f aca="false">IF($BY698&lt;=Y$615,MATCH($BY698,Y$617:Y$737,0))</f>
        <v>0</v>
      </c>
      <c r="AF698" s="324" t="n">
        <f aca="false">IF($BY698&lt;=Z$615,MATCH($BY698,Z$617:Z$737,0))</f>
        <v>0</v>
      </c>
      <c r="AG698" s="325" t="str">
        <f aca="true">IF(AND(AA698&lt;="",AP91=""),OFFSET(Spells!H$2,AA698,0),"")</f>
        <v>Effect</v>
      </c>
      <c r="AH698" s="325" t="str">
        <f aca="true">IF(AND(AB698&lt;="",AP91=""),OFFSET(Spells!R$2,AB698,0),"")</f>
        <v>Effect</v>
      </c>
      <c r="AI698" s="325" t="str">
        <f aca="true">IF(AND(AC698&lt;="",AP91=""),OFFSET(Spells!AB$2,AC698,0),"")</f>
        <v>Effect</v>
      </c>
      <c r="AJ698" s="326" t="str">
        <f aca="true">IF(AND(AD698&lt;="",AP91=""),OFFSET(Spells!AL$2,AD698,0),"")</f>
        <v>Effect</v>
      </c>
      <c r="AK698" s="326" t="str">
        <f aca="true">IF(AND(AE698&lt;="",AP91=""),OFFSET(Spells!AV$2,AE698,0),"")</f>
        <v>Effect</v>
      </c>
      <c r="AL698" s="325" t="str">
        <f aca="true">IF(AND(AF698&lt;="",AP89=""),OFFSET(Spells!$H$2,AF698,0),"")</f>
        <v>Effect</v>
      </c>
      <c r="AM698" s="56"/>
      <c r="AN698" s="42"/>
      <c r="AO698" s="42"/>
      <c r="AP698" s="42"/>
      <c r="AQ698" s="340"/>
      <c r="AR698" s="327" t="str">
        <f aca="false">T102&amp;IF(Z102&lt;&gt;"","("&amp;Z102&amp;")","")</f>
        <v>Intimidation</v>
      </c>
      <c r="AS698" s="112" t="n">
        <f aca="false">X102</f>
        <v>0</v>
      </c>
      <c r="AT698" s="112" t="n">
        <f aca="true">OFFSET(CostSkill,AS698,0)-OFFSET(CostSkill,W102,0)</f>
        <v>0</v>
      </c>
      <c r="AU698" s="112" t="str">
        <f aca="false">Y102</f>
        <v>C</v>
      </c>
      <c r="AV698" s="112" t="n">
        <f aca="false">AV697+IF(AND(AR698&lt;&gt;" ",AS698&gt;0),1,0)</f>
        <v>14</v>
      </c>
      <c r="AW698" s="324"/>
      <c r="AX698" s="327" t="str">
        <f aca="false">IF(Discipline2&lt;&gt;"",HLOOKUP(Discipline2,knackfordic,BY653)," ")</f>
        <v>Shadow Hide</v>
      </c>
      <c r="AY698" s="329" t="n">
        <f aca="false">IF(AX698&lt;&gt;" ",IF(ISERROR(MATCH(AX698,AX$621:AX$639,0)),MATCH(AX698,Talents!G$4:G$210)))</f>
        <v>150</v>
      </c>
      <c r="AZ698" s="329" t="str">
        <f aca="true">IF(AY698,OFFSET(Talents!H$2,Build!AY698,0)," ")</f>
        <v>Maneuver</v>
      </c>
      <c r="BA698" s="112" t="n">
        <f aca="true">IF(AY698,OFFSET(Talents!J$2,Build!AY698,0)," ")</f>
        <v>1</v>
      </c>
      <c r="BB698" s="112" t="n">
        <f aca="true">IF(AY698,OFFSET(Talents!I$2,Build!AY698,0)," ")</f>
        <v>6</v>
      </c>
      <c r="BC698" s="112" t="n">
        <f aca="true">IF(AY698,OFFSET(Talents!K$1,Build!AY698,0)," ")</f>
        <v>2100</v>
      </c>
      <c r="BD698" s="112" t="e">
        <f aca="true">IF(AY698=0,0,IF(ISERROR(MATCH(AZ698,D$616:D$656,0)),OFFSET(E$656,MATCH(AZ698,D$657:D$697,0),0),IF(OFFSET(E$615,MATCH(AZ698,D$616:D$656,0),0)&gt;OFFSET(E$656,MATCH(AZ698,D$657:D$697,0),0),OFFSET(E$615,MATCH(AZ698,D$616:D$656,0),0),OFFSET(E$656,MATCH(AZ698,D$657:D$697,0),0))))</f>
        <v>#N/A</v>
      </c>
      <c r="BE698" s="112" t="n">
        <f aca="false">BE697+IF(ISERROR(BD698), 0, IF(BD698&gt;=BB698, 1, 0))</f>
        <v>21</v>
      </c>
      <c r="BF698" s="324" t="n">
        <f aca="false">IF($BY675&lt;=BF$615,MATCH(BY675,BE$617:BE$681,0))</f>
        <v>0</v>
      </c>
      <c r="BY698" s="333" t="n">
        <f aca="false">BY697+1</f>
        <v>82</v>
      </c>
      <c r="BZ698" s="329" t="str">
        <f aca="false">B276</f>
        <v>Paper</v>
      </c>
      <c r="CA698" s="112" t="n">
        <f aca="false">F276</f>
        <v>5</v>
      </c>
      <c r="CB698" s="112" t="n">
        <f aca="false">G276</f>
        <v>1</v>
      </c>
      <c r="CC698" s="112" t="n">
        <f aca="false">H276</f>
        <v>0</v>
      </c>
      <c r="CD698" s="329" t="e">
        <f aca="false">FIND(",",BZ698)</f>
        <v>#VALUE!</v>
      </c>
      <c r="CE698" s="329" t="str">
        <f aca="false">IF(ISERROR(CD698),BZ698,MID(BZ698,CD698+2,20)&amp;" "&amp;LEFT(BZ698,CD698-1))&amp;IF(ISERROR(VALUE(CA698)),"",IF(CA698&gt;1," ("&amp;CA698&amp;")",""))</f>
        <v>Paper (5)</v>
      </c>
      <c r="CF698" s="329" t="n">
        <f aca="false">IF(CC698=" "," ",IF(ISERROR(VALUE(CA698)),CC698,CA698*CC698))</f>
        <v>0</v>
      </c>
      <c r="CG698" s="112" t="n">
        <f aca="false">CG697+IF(AND(BZ698&lt;&gt;0,CA698&lt;&gt;0),1,0)</f>
        <v>13</v>
      </c>
      <c r="CH698" s="112" t="n">
        <f aca="false">IF($BY698&lt;=CH$615,MATCH($BY698,CG$617:CG$863,0))</f>
        <v>0</v>
      </c>
    </row>
    <row r="699" s="32" customFormat="true" ht="12.75" hidden="false" customHeight="false" outlineLevel="0" collapsed="false">
      <c r="B699" s="279" t="n">
        <v>1</v>
      </c>
      <c r="C699" s="67" t="str">
        <f aca="false">IF(L19&lt;&gt;"",L19," ")</f>
        <v>Parry</v>
      </c>
      <c r="D699" s="178" t="str">
        <f aca="false">C699</f>
        <v>Parry</v>
      </c>
      <c r="E699" s="64" t="n">
        <f aca="false">O19</f>
        <v>5</v>
      </c>
      <c r="F699" s="182" t="n">
        <f aca="true">IF(D699=" "," ",OFFSET(Cost_1_4,E699,0))</f>
        <v>1900</v>
      </c>
      <c r="G699" s="64" t="n">
        <f aca="false">IF(C699&lt;&gt;" ",MATCH(D699,Talents!B$3:B$345,1),0)</f>
        <v>192</v>
      </c>
      <c r="H699" s="64" t="str">
        <f aca="true">IF(G699=0," ",OFFSET(Talents!C$2,G699,0))</f>
        <v>D</v>
      </c>
      <c r="I699" s="64" t="n">
        <f aca="false">IF(E699&gt;=0,P19,0)</f>
        <v>1</v>
      </c>
      <c r="J699" s="64" t="n">
        <f aca="false">IF(H699&lt;&gt;" ",E699+VLOOKUP(H699,G$597:L$603,6,0)+I699," ")</f>
        <v>13</v>
      </c>
      <c r="K699" s="64" t="str">
        <f aca="true">IF(J699&lt;&gt;" ",OFFSET(ActionDice,J699,0),"-")</f>
        <v>d12+d10</v>
      </c>
      <c r="L699" s="67" t="n">
        <f aca="false">OR(RIGHT(C699, 3)="(D)", NOT(ISERROR(MATCH(D699&amp;" (D)", C$657:C$697, 0))))</f>
        <v>0</v>
      </c>
      <c r="M699" s="64" t="str">
        <f aca="true">IF(G699&gt;0,IF(L699,"D",OFFSET(Talents!D$2,G699,0))&amp;OFFSET(Talents!E$2,G699,0)," ")</f>
        <v>-/F/1</v>
      </c>
      <c r="N699" s="64" t="n">
        <f aca="false">AND(D699&lt;&gt;" ",OR(E699&lt;&gt;0,I699&lt;&gt;0))</f>
        <v>1</v>
      </c>
      <c r="O699" s="300" t="n">
        <f aca="false">O698+IF(N698,1,0)</f>
        <v>19</v>
      </c>
      <c r="P699" s="324" t="n">
        <f aca="false">IF(Build!$BY699&lt;=Build!P$615,MATCH(Build!$BY699,Build!O$617:O$714,0))</f>
        <v>0</v>
      </c>
      <c r="S699" s="56"/>
      <c r="T699" s="56"/>
      <c r="U699" s="300" t="n">
        <f aca="false">U698+IF(N415&lt;&gt;"",1,0)</f>
        <v>0</v>
      </c>
      <c r="V699" s="112" t="n">
        <f aca="false">V698+IF(N447&lt;&gt;"",1,0)</f>
        <v>0</v>
      </c>
      <c r="W699" s="112" t="n">
        <f aca="false">W698+IF(N479&lt;&gt;"",1,0)</f>
        <v>0</v>
      </c>
      <c r="X699" s="112" t="n">
        <f aca="false">X698+IF(N511&lt;&gt;"",1,0)</f>
        <v>0</v>
      </c>
      <c r="Y699" s="112" t="n">
        <f aca="false">Y698+IF(N543&lt;&gt;"",1,0)</f>
        <v>0</v>
      </c>
      <c r="Z699" s="324" t="n">
        <f aca="false">Z698+IF($N575&lt;&gt;"",1,0)</f>
        <v>0</v>
      </c>
      <c r="AA699" s="300" t="n">
        <f aca="false">IF($BY699&lt;=U$615,MATCH($BY699,U$617:U$737,0))</f>
        <v>0</v>
      </c>
      <c r="AB699" s="112" t="n">
        <f aca="false">IF($BY699&lt;=V$615,MATCH($BY699,V$617:V$737,0))</f>
        <v>0</v>
      </c>
      <c r="AC699" s="112" t="n">
        <f aca="false">IF($BY699&lt;=W$615,MATCH($BY699,W$617:W$737,0))</f>
        <v>0</v>
      </c>
      <c r="AD699" s="112" t="n">
        <f aca="false">IF($BY699&lt;=X$615,MATCH($BY699,X$617:X$737,0))</f>
        <v>0</v>
      </c>
      <c r="AE699" s="112" t="n">
        <f aca="false">IF($BY699&lt;=Y$615,MATCH($BY699,Y$617:Y$737,0))</f>
        <v>0</v>
      </c>
      <c r="AF699" s="324" t="n">
        <f aca="false">IF($BY699&lt;=Z$615,MATCH($BY699,Z$617:Z$737,0))</f>
        <v>0</v>
      </c>
      <c r="AG699" s="325" t="str">
        <f aca="true">IF(AND(AA699&lt;="",AP92=""),OFFSET(Spells!H$2,AA699,0),"")</f>
        <v>Effect</v>
      </c>
      <c r="AH699" s="325" t="str">
        <f aca="true">IF(AND(AB699&lt;="",AP92=""),OFFSET(Spells!R$2,AB699,0),"")</f>
        <v>Effect</v>
      </c>
      <c r="AI699" s="325" t="str">
        <f aca="true">IF(AND(AC699&lt;="",AP92=""),OFFSET(Spells!AB$2,AC699,0),"")</f>
        <v>Effect</v>
      </c>
      <c r="AJ699" s="326" t="str">
        <f aca="true">IF(AND(AD699&lt;="",AP92=""),OFFSET(Spells!AL$2,AD699,0),"")</f>
        <v>Effect</v>
      </c>
      <c r="AK699" s="326" t="str">
        <f aca="true">IF(AND(AE699&lt;="",AP92=""),OFFSET(Spells!AV$2,AE699,0),"")</f>
        <v>Effect</v>
      </c>
      <c r="AL699" s="325" t="str">
        <f aca="true">IF(AND(AF699&lt;="",AP90=""),OFFSET(Spells!$H$2,AF699,0),"")</f>
        <v>Effect</v>
      </c>
      <c r="AM699" s="56"/>
      <c r="AN699" s="42"/>
      <c r="AO699" s="42"/>
      <c r="AP699" s="42"/>
      <c r="AQ699" s="340"/>
      <c r="AR699" s="327" t="str">
        <f aca="false">T103&amp;IF(Z103&lt;&gt;"","("&amp;Z103&amp;")","")</f>
        <v>Knowledge</v>
      </c>
      <c r="AS699" s="112" t="n">
        <f aca="false">X103</f>
        <v>0</v>
      </c>
      <c r="AT699" s="112" t="n">
        <f aca="true">OFFSET(CostSkill,AS699,0)-OFFSET(CostSkill,W103,0)</f>
        <v>0</v>
      </c>
      <c r="AU699" s="112" t="str">
        <f aca="false">Y103</f>
        <v>P</v>
      </c>
      <c r="AV699" s="112" t="n">
        <f aca="false">AV698+IF(AND(AR699&lt;&gt;" ",AS699&gt;0),1,0)</f>
        <v>14</v>
      </c>
      <c r="AW699" s="324"/>
      <c r="AX699" s="327" t="str">
        <f aca="false">IF(Discipline2&lt;&gt;"",HLOOKUP(Discipline2,knackfordic,BY654)," ")</f>
        <v>Swinging Move</v>
      </c>
      <c r="AY699" s="329" t="n">
        <f aca="false">IF(AX699&lt;&gt;" ",IF(ISERROR(MATCH(AX699,AX$621:AX$639,0)),MATCH(AX699,Talents!G$4:G$210)))</f>
        <v>164</v>
      </c>
      <c r="AZ699" s="329" t="str">
        <f aca="true">IF(AY699,OFFSET(Talents!H$2,Build!AY699,0)," ")</f>
        <v>Trick Riding</v>
      </c>
      <c r="BA699" s="112" t="str">
        <f aca="true">IF(AY699,OFFSET(Talents!J$2,Build!AY699,0)," ")</f>
        <v>1*</v>
      </c>
      <c r="BB699" s="112" t="n">
        <f aca="true">IF(AY699,OFFSET(Talents!I$2,Build!AY699,0)," ")</f>
        <v>3</v>
      </c>
      <c r="BC699" s="112" t="n">
        <f aca="true">IF(AY699,OFFSET(Talents!K$1,Build!AY699,0)," ")</f>
        <v>5500</v>
      </c>
      <c r="BD699" s="112" t="e">
        <f aca="true">IF(AY699=0,0,IF(ISERROR(MATCH(AZ699,D$616:D$656,0)),OFFSET(E$656,MATCH(AZ699,D$657:D$697,0),0),IF(OFFSET(E$615,MATCH(AZ699,D$616:D$656,0),0)&gt;OFFSET(E$656,MATCH(AZ699,D$657:D$697,0),0),OFFSET(E$615,MATCH(AZ699,D$616:D$656,0),0),OFFSET(E$656,MATCH(AZ699,D$657:D$697,0),0))))</f>
        <v>#N/A</v>
      </c>
      <c r="BE699" s="112" t="n">
        <f aca="false">BE698+IF(ISERROR(BD699), 0, IF(BD699&gt;=BB699, 1, 0))</f>
        <v>21</v>
      </c>
      <c r="BF699" s="324" t="n">
        <f aca="false">IF($BY676&lt;=BF$615,MATCH(BY676,BE$617:BE$681,0))</f>
        <v>0</v>
      </c>
      <c r="BY699" s="333" t="n">
        <f aca="false">BY698+1</f>
        <v>83</v>
      </c>
      <c r="BZ699" s="329" t="str">
        <f aca="false">B277</f>
        <v>Piton</v>
      </c>
      <c r="CA699" s="112" t="n">
        <f aca="false">F277</f>
        <v>1</v>
      </c>
      <c r="CB699" s="112" t="n">
        <f aca="false">G277</f>
        <v>0.9</v>
      </c>
      <c r="CC699" s="112" t="n">
        <f aca="false">H277</f>
        <v>1</v>
      </c>
      <c r="CD699" s="329" t="e">
        <f aca="false">FIND(",",BZ699)</f>
        <v>#VALUE!</v>
      </c>
      <c r="CE699" s="329" t="str">
        <f aca="false">IF(ISERROR(CD699),BZ699,MID(BZ699,CD699+2,20)&amp;" "&amp;LEFT(BZ699,CD699-1))&amp;IF(ISERROR(VALUE(CA699)),"",IF(CA699&gt;1," ("&amp;CA699&amp;")",""))</f>
        <v>Piton</v>
      </c>
      <c r="CF699" s="329" t="n">
        <f aca="false">IF(CC699=" "," ",IF(ISERROR(VALUE(CA699)),CC699,CA699*CC699))</f>
        <v>1</v>
      </c>
      <c r="CG699" s="112" t="n">
        <f aca="false">CG698+IF(AND(BZ699&lt;&gt;0,CA699&lt;&gt;0),1,0)</f>
        <v>14</v>
      </c>
      <c r="CH699" s="112" t="n">
        <f aca="false">IF($BY699&lt;=CH$615,MATCH($BY699,CG$617:CG$863,0))</f>
        <v>0</v>
      </c>
    </row>
    <row r="700" s="32" customFormat="true" ht="12.75" hidden="false" customHeight="false" outlineLevel="0" collapsed="false">
      <c r="B700" s="279" t="n">
        <v>2</v>
      </c>
      <c r="C700" s="67" t="str">
        <f aca="false">IF(L20&lt;&gt;"",L20," ")</f>
        <v>Wood Skin</v>
      </c>
      <c r="D700" s="178" t="str">
        <f aca="false">C700</f>
        <v>Wood Skin</v>
      </c>
      <c r="E700" s="64" t="n">
        <f aca="false">O20</f>
        <v>2</v>
      </c>
      <c r="F700" s="182" t="n">
        <f aca="true">IF(D700=" "," ",OFFSET(Cost_1_4,E700,0))</f>
        <v>300</v>
      </c>
      <c r="G700" s="64" t="n">
        <f aca="false">IF(C700&lt;&gt;" ",MATCH(D700,Talents!B$3:B$345,1),0)</f>
        <v>332</v>
      </c>
      <c r="H700" s="64" t="str">
        <f aca="true">IF(G700=0," ",OFFSET(Talents!C$2,G700,0))</f>
        <v>T</v>
      </c>
      <c r="I700" s="64" t="n">
        <f aca="false">IF(E700&gt;=0,P20,0)</f>
        <v>0</v>
      </c>
      <c r="J700" s="64" t="n">
        <f aca="false">IF(H700&lt;&gt;" ",E700+VLOOKUP(H700,G$597:L$603,6,0)+I700," ")</f>
        <v>8</v>
      </c>
      <c r="K700" s="64" t="str">
        <f aca="true">IF(J700&lt;&gt;" ",OFFSET(ActionDice,J700,0),"-")</f>
        <v>2d6</v>
      </c>
      <c r="L700" s="67" t="n">
        <f aca="false">OR(RIGHT(C700, 3)="(D)", NOT(ISERROR(MATCH(D700&amp;" (D)", C$657:C$697, 0))))</f>
        <v>0</v>
      </c>
      <c r="M700" s="64" t="str">
        <f aca="true">IF(G700&gt;0,IF(L700,"D",OFFSET(Talents!D$2,G700,0))&amp;OFFSET(Talents!E$2,G700,0)," ")</f>
        <v>K/A/-</v>
      </c>
      <c r="N700" s="64" t="n">
        <f aca="false">AND(D700&lt;&gt;" ",OR(E700&lt;&gt;0,I700&lt;&gt;0))</f>
        <v>1</v>
      </c>
      <c r="O700" s="300" t="n">
        <f aca="false">O699+IF(N699,1,0)</f>
        <v>20</v>
      </c>
      <c r="P700" s="324" t="n">
        <f aca="false">IF(Build!$BY700&lt;=Build!P$615,MATCH(Build!$BY700,Build!O$617:O$714,0))</f>
        <v>0</v>
      </c>
      <c r="S700" s="56"/>
      <c r="T700" s="56"/>
      <c r="U700" s="300" t="n">
        <f aca="false">U699+IF(N416&lt;&gt;"",1,0)</f>
        <v>0</v>
      </c>
      <c r="V700" s="112" t="n">
        <f aca="false">V699+IF(N448&lt;&gt;"",1,0)</f>
        <v>0</v>
      </c>
      <c r="W700" s="112" t="n">
        <f aca="false">W699+IF(N480&lt;&gt;"",1,0)</f>
        <v>0</v>
      </c>
      <c r="X700" s="112" t="n">
        <f aca="false">X699+IF(N512&lt;&gt;"",1,0)</f>
        <v>0</v>
      </c>
      <c r="Y700" s="112" t="n">
        <f aca="false">Y699+IF(N544&lt;&gt;"",1,0)</f>
        <v>0</v>
      </c>
      <c r="Z700" s="324" t="n">
        <f aca="false">Z699+IF($N576&lt;&gt;"",1,0)</f>
        <v>0</v>
      </c>
      <c r="AA700" s="300" t="n">
        <f aca="false">IF($BY700&lt;=U$615,MATCH($BY700,U$617:U$737,0))</f>
        <v>0</v>
      </c>
      <c r="AB700" s="112" t="n">
        <f aca="false">IF($BY700&lt;=V$615,MATCH($BY700,V$617:V$737,0))</f>
        <v>0</v>
      </c>
      <c r="AC700" s="112" t="n">
        <f aca="false">IF($BY700&lt;=W$615,MATCH($BY700,W$617:W$737,0))</f>
        <v>0</v>
      </c>
      <c r="AD700" s="112" t="n">
        <f aca="false">IF($BY700&lt;=X$615,MATCH($BY700,X$617:X$737,0))</f>
        <v>0</v>
      </c>
      <c r="AE700" s="112" t="n">
        <f aca="false">IF($BY700&lt;=Y$615,MATCH($BY700,Y$617:Y$737,0))</f>
        <v>0</v>
      </c>
      <c r="AF700" s="324" t="n">
        <f aca="false">IF($BY700&lt;=Z$615,MATCH($BY700,Z$617:Z$737,0))</f>
        <v>0</v>
      </c>
      <c r="AG700" s="325" t="str">
        <f aca="true">IF(AND(AA700&lt;="",AP93=""),OFFSET(Spells!H$2,AA700,0),"")</f>
        <v>Effect</v>
      </c>
      <c r="AH700" s="325" t="str">
        <f aca="true">IF(AND(AB700&lt;="",AP93=""),OFFSET(Spells!R$2,AB700,0),"")</f>
        <v>Effect</v>
      </c>
      <c r="AI700" s="325" t="str">
        <f aca="true">IF(AND(AC700&lt;="",AP93=""),OFFSET(Spells!AB$2,AC700,0),"")</f>
        <v>Effect</v>
      </c>
      <c r="AJ700" s="326" t="str">
        <f aca="true">IF(AND(AD700&lt;="",AP93=""),OFFSET(Spells!AL$2,AD700,0),"")</f>
        <v>Effect</v>
      </c>
      <c r="AK700" s="326" t="str">
        <f aca="true">IF(AND(AE700&lt;="",AP93=""),OFFSET(Spells!AV$2,AE700,0),"")</f>
        <v>Effect</v>
      </c>
      <c r="AL700" s="325" t="str">
        <f aca="true">IF(AND(AF700&lt;="",AP91=""),OFFSET(Spells!$H$2,AF700,0),"")</f>
        <v>Effect</v>
      </c>
      <c r="AM700" s="56"/>
      <c r="AN700" s="42"/>
      <c r="AO700" s="42"/>
      <c r="AP700" s="42"/>
      <c r="AQ700" s="340"/>
      <c r="AR700" s="327" t="str">
        <f aca="false">T104&amp;IF(Z104&lt;&gt;"","("&amp;Z104&amp;")","")</f>
        <v>Lip Reading</v>
      </c>
      <c r="AS700" s="112" t="n">
        <f aca="false">X104</f>
        <v>0</v>
      </c>
      <c r="AT700" s="112" t="n">
        <f aca="true">OFFSET(CostSkill,AS700,0)-OFFSET(CostSkill,W104,0)</f>
        <v>0</v>
      </c>
      <c r="AU700" s="112" t="str">
        <f aca="false">Y104</f>
        <v>C</v>
      </c>
      <c r="AV700" s="112" t="n">
        <f aca="false">AV699+IF(AND(AR700&lt;&gt;" ",AS700&gt;0),1,0)</f>
        <v>14</v>
      </c>
      <c r="AW700" s="324"/>
      <c r="AX700" s="327" t="str">
        <f aca="false">IF(Discipline2&lt;&gt;"",HLOOKUP(Discipline2,knackfordic,BY655)," ")</f>
        <v>Talent Pattern</v>
      </c>
      <c r="AY700" s="329" t="n">
        <f aca="false">IF(AX700&lt;&gt;" ",IF(ISERROR(MATCH(AX700,AX$621:AX$639,0)),MATCH(AX700,Talents!G$4:G$210)))</f>
        <v>168</v>
      </c>
      <c r="AZ700" s="329" t="str">
        <f aca="true">IF(AY700,OFFSET(Talents!H$2,Build!AY700,0)," ")</f>
        <v>Thread Weaving*</v>
      </c>
      <c r="BA700" s="112" t="str">
        <f aca="true">IF(AY700,OFFSET(Talents!J$2,Build!AY700,0)," ")</f>
        <v>2+</v>
      </c>
      <c r="BB700" s="112" t="n">
        <f aca="true">IF(AY700,OFFSET(Talents!I$2,Build!AY700,0)," ")</f>
        <v>6</v>
      </c>
      <c r="BC700" s="112" t="n">
        <f aca="true">IF(AY700,OFFSET(Talents!K$1,Build!AY700,0)," ")</f>
        <v>2100</v>
      </c>
      <c r="BD700" s="112" t="e">
        <f aca="true">IF(AY700=0,0,IF(ISERROR(MATCH(AZ700,D$616:D$656,0)),OFFSET(E$656,MATCH(AZ700,D$657:D$697,0),0),IF(OFFSET(E$615,MATCH(AZ700,D$616:D$656,0),0)&gt;OFFSET(E$656,MATCH(AZ700,D$657:D$697,0),0),OFFSET(E$615,MATCH(AZ700,D$616:D$656,0),0),OFFSET(E$656,MATCH(AZ700,D$657:D$697,0),0))))</f>
        <v>#N/A</v>
      </c>
      <c r="BE700" s="112" t="n">
        <f aca="false">BE699+IF(ISERROR(BD700), 0, IF(BD700&gt;=BB700, 1, 0))</f>
        <v>21</v>
      </c>
      <c r="BF700" s="324" t="n">
        <f aca="false">IF($BY677&lt;=BF$615,MATCH(BY677,BE$617:BE$681,0))</f>
        <v>0</v>
      </c>
      <c r="BY700" s="333" t="n">
        <f aca="false">BY699+1</f>
        <v>84</v>
      </c>
      <c r="BZ700" s="329" t="str">
        <f aca="false">B278</f>
        <v>Quill-pen</v>
      </c>
      <c r="CA700" s="112" t="n">
        <f aca="false">F278</f>
        <v>1</v>
      </c>
      <c r="CB700" s="112" t="n">
        <f aca="false">G278</f>
        <v>1</v>
      </c>
      <c r="CC700" s="112" t="n">
        <f aca="false">H278</f>
        <v>0</v>
      </c>
      <c r="CD700" s="329" t="e">
        <f aca="false">FIND(",",BZ700)</f>
        <v>#VALUE!</v>
      </c>
      <c r="CE700" s="329" t="str">
        <f aca="false">IF(ISERROR(CD700),BZ700,MID(BZ700,CD700+2,20)&amp;" "&amp;LEFT(BZ700,CD700-1))&amp;IF(ISERROR(VALUE(CA700)),"",IF(CA700&gt;1," ("&amp;CA700&amp;")",""))</f>
        <v>Quill-pen</v>
      </c>
      <c r="CF700" s="329" t="n">
        <f aca="false">IF(CC700=" "," ",IF(ISERROR(VALUE(CA700)),CC700,CA700*CC700))</f>
        <v>0</v>
      </c>
      <c r="CG700" s="112" t="n">
        <f aca="false">CG699+IF(AND(BZ700&lt;&gt;0,CA700&lt;&gt;0),1,0)</f>
        <v>15</v>
      </c>
      <c r="CH700" s="112" t="n">
        <f aca="false">IF($BY700&lt;=CH$615,MATCH($BY700,CG$617:CG$863,0))</f>
        <v>0</v>
      </c>
    </row>
    <row r="701" s="32" customFormat="true" ht="12.75" hidden="false" customHeight="false" outlineLevel="0" collapsed="false">
      <c r="B701" s="279" t="n">
        <v>3</v>
      </c>
      <c r="C701" s="67" t="str">
        <f aca="false">IF(L21&lt;&gt;"",L21," ")</f>
        <v>Lasting Impression</v>
      </c>
      <c r="D701" s="178" t="str">
        <f aca="false">C701</f>
        <v>Lasting Impression</v>
      </c>
      <c r="E701" s="64" t="n">
        <f aca="false">O21</f>
        <v>6</v>
      </c>
      <c r="F701" s="182" t="n">
        <f aca="true">IF(D701=" "," ",OFFSET(Cost_1_4,E701,0))</f>
        <v>3200</v>
      </c>
      <c r="G701" s="64" t="n">
        <f aca="false">IF(C701&lt;&gt;" ",MATCH(D701,Talents!B$3:B$345,1),0)</f>
        <v>158</v>
      </c>
      <c r="H701" s="64" t="str">
        <f aca="true">IF(G701=0," ",OFFSET(Talents!C$2,G701,0))</f>
        <v>C</v>
      </c>
      <c r="I701" s="64" t="n">
        <f aca="false">IF(E701&gt;=0,P21,0)</f>
        <v>0</v>
      </c>
      <c r="J701" s="64" t="n">
        <f aca="false">IF(H701&lt;&gt;" ",E701+VLOOKUP(H701,G$597:L$603,6,0)+I701," ")</f>
        <v>12</v>
      </c>
      <c r="K701" s="64" t="str">
        <f aca="true">IF(J701&lt;&gt;" ",OFFSET(ActionDice,J701,0),"-")</f>
        <v>2d10</v>
      </c>
      <c r="L701" s="67" t="n">
        <f aca="false">OR(RIGHT(C701, 3)="(D)", NOT(ISERROR(MATCH(D701&amp;" (D)", C$657:C$697, 0))))</f>
        <v>0</v>
      </c>
      <c r="M701" s="64" t="str">
        <f aca="true">IF(G701&gt;0,IF(L701,"D",OFFSET(Talents!D$2,G701,0))&amp;OFFSET(Talents!E$2,G701,0)," ")</f>
        <v>K/A/-</v>
      </c>
      <c r="N701" s="64" t="n">
        <f aca="false">AND(D701&lt;&gt;" ",OR(E701&lt;&gt;0,I701&lt;&gt;0))</f>
        <v>1</v>
      </c>
      <c r="O701" s="300" t="n">
        <f aca="false">O700+IF(N700,1,0)</f>
        <v>21</v>
      </c>
      <c r="P701" s="324" t="n">
        <f aca="false">IF(Build!$BY701&lt;=Build!P$615,MATCH(Build!$BY701,Build!O$617:O$714,0))</f>
        <v>0</v>
      </c>
      <c r="S701" s="56"/>
      <c r="T701" s="56"/>
      <c r="U701" s="300" t="n">
        <f aca="false">U700+IF(N417&lt;&gt;"",1,0)</f>
        <v>0</v>
      </c>
      <c r="V701" s="112" t="n">
        <f aca="false">V700+IF(N449&lt;&gt;"",1,0)</f>
        <v>0</v>
      </c>
      <c r="W701" s="112" t="n">
        <f aca="false">W700+IF(N481&lt;&gt;"",1,0)</f>
        <v>0</v>
      </c>
      <c r="X701" s="112" t="n">
        <f aca="false">X700+IF(N513&lt;&gt;"",1,0)</f>
        <v>0</v>
      </c>
      <c r="Y701" s="112" t="n">
        <f aca="false">Y700+IF(N545&lt;&gt;"",1,0)</f>
        <v>0</v>
      </c>
      <c r="Z701" s="324" t="n">
        <f aca="false">Z700+IF($N577&lt;&gt;"",1,0)</f>
        <v>0</v>
      </c>
      <c r="AA701" s="300" t="n">
        <f aca="false">IF($BY701&lt;=U$615,MATCH($BY701,U$617:U$737,0))</f>
        <v>0</v>
      </c>
      <c r="AB701" s="112" t="n">
        <f aca="false">IF($BY701&lt;=V$615,MATCH($BY701,V$617:V$737,0))</f>
        <v>0</v>
      </c>
      <c r="AC701" s="112" t="n">
        <f aca="false">IF($BY701&lt;=W$615,MATCH($BY701,W$617:W$737,0))</f>
        <v>0</v>
      </c>
      <c r="AD701" s="112" t="n">
        <f aca="false">IF($BY701&lt;=X$615,MATCH($BY701,X$617:X$737,0))</f>
        <v>0</v>
      </c>
      <c r="AE701" s="112" t="n">
        <f aca="false">IF($BY701&lt;=Y$615,MATCH($BY701,Y$617:Y$737,0))</f>
        <v>0</v>
      </c>
      <c r="AF701" s="324" t="n">
        <f aca="false">IF($BY701&lt;=Z$615,MATCH($BY701,Z$617:Z$737,0))</f>
        <v>0</v>
      </c>
      <c r="AG701" s="325" t="str">
        <f aca="true">IF(AND(AA701&lt;="",AP94=""),OFFSET(Spells!H$2,AA701,0),"")</f>
        <v>Effect</v>
      </c>
      <c r="AH701" s="325" t="str">
        <f aca="true">IF(AND(AB701&lt;="",AP94=""),OFFSET(Spells!R$2,AB701,0),"")</f>
        <v>Effect</v>
      </c>
      <c r="AI701" s="325" t="str">
        <f aca="true">IF(AND(AC701&lt;="",AP94=""),OFFSET(Spells!AB$2,AC701,0),"")</f>
        <v>Effect</v>
      </c>
      <c r="AJ701" s="326" t="str">
        <f aca="true">IF(AND(AD701&lt;="",AP94=""),OFFSET(Spells!AL$2,AD701,0),"")</f>
        <v>Effect</v>
      </c>
      <c r="AK701" s="326" t="str">
        <f aca="true">IF(AND(AE701&lt;="",AP94=""),OFFSET(Spells!AV$2,AE701,0),"")</f>
        <v>Effect</v>
      </c>
      <c r="AL701" s="325" t="str">
        <f aca="true">IF(AND(AF701&lt;="",AP92=""),OFFSET(Spells!$H$2,AF701,0),"")</f>
        <v>Effect</v>
      </c>
      <c r="AM701" s="56"/>
      <c r="AN701" s="42"/>
      <c r="AO701" s="42"/>
      <c r="AP701" s="42"/>
      <c r="AQ701" s="340"/>
      <c r="AR701" s="327" t="str">
        <f aca="false">T105&amp;IF(Z105&lt;&gt;"","("&amp;Z105&amp;")","")</f>
        <v>Lock Picking</v>
      </c>
      <c r="AS701" s="112" t="n">
        <f aca="false">X105</f>
        <v>0</v>
      </c>
      <c r="AT701" s="112" t="n">
        <f aca="true">OFFSET(CostSkill,AS701,0)-OFFSET(CostSkill,W105,0)</f>
        <v>0</v>
      </c>
      <c r="AU701" s="112" t="str">
        <f aca="false">Y105</f>
        <v>D</v>
      </c>
      <c r="AV701" s="112" t="n">
        <f aca="false">AV700+IF(AND(AR701&lt;&gt;" ",AS701&gt;0),1,0)</f>
        <v>14</v>
      </c>
      <c r="AW701" s="324"/>
      <c r="AX701" s="327" t="str">
        <f aca="false">IF(Discipline2&lt;&gt;"",HLOOKUP(Discipline2,knackfordic,BY656)," ")</f>
        <v>Traceless Stride</v>
      </c>
      <c r="AY701" s="329" t="n">
        <f aca="false">IF(AX701&lt;&gt;" ",IF(ISERROR(MATCH(AX701,AX$621:AX$639,0)),MATCH(AX701,Talents!G$4:G$210)))</f>
        <v>172</v>
      </c>
      <c r="AZ701" s="329" t="str">
        <f aca="true">IF(AY701,OFFSET(Talents!H$2,Build!AY701,0)," ")</f>
        <v>Power Mask</v>
      </c>
      <c r="BA701" s="112" t="n">
        <f aca="true">IF(AY701,OFFSET(Talents!J$2,Build!AY701,0)," ")</f>
        <v>2</v>
      </c>
      <c r="BB701" s="112" t="n">
        <f aca="true">IF(AY701,OFFSET(Talents!I$2,Build!AY701,0)," ")</f>
        <v>7</v>
      </c>
      <c r="BC701" s="112" t="n">
        <f aca="true">IF(AY701,OFFSET(Talents!K$1,Build!AY701,0)," ")</f>
        <v>2100</v>
      </c>
      <c r="BD701" s="112" t="e">
        <f aca="true">IF(AY701=0,0,IF(ISERROR(MATCH(AZ701,D$616:D$656,0)),OFFSET(E$656,MATCH(AZ701,D$657:D$697,0),0),IF(OFFSET(E$615,MATCH(AZ701,D$616:D$656,0),0)&gt;OFFSET(E$656,MATCH(AZ701,D$657:D$697,0),0),OFFSET(E$615,MATCH(AZ701,D$616:D$656,0),0),OFFSET(E$656,MATCH(AZ701,D$657:D$697,0),0))))</f>
        <v>#N/A</v>
      </c>
      <c r="BE701" s="112" t="n">
        <f aca="false">BE700+IF(ISERROR(BD701), 0, IF(BD701&gt;=BB701, 1, 0))</f>
        <v>21</v>
      </c>
      <c r="BF701" s="324" t="n">
        <f aca="false">IF($BY678&lt;=BF$615,MATCH(BY678,BE$617:BE$681,0))</f>
        <v>0</v>
      </c>
      <c r="BY701" s="333" t="n">
        <f aca="false">BY700+1</f>
        <v>85</v>
      </c>
      <c r="BZ701" s="329" t="str">
        <f aca="false">B281</f>
        <v>Rope (50-foot length)</v>
      </c>
      <c r="CA701" s="112" t="n">
        <f aca="false">F281</f>
        <v>0</v>
      </c>
      <c r="CB701" s="112" t="n">
        <f aca="false">G281</f>
        <v>25</v>
      </c>
      <c r="CC701" s="112" t="n">
        <f aca="false">H281</f>
        <v>15</v>
      </c>
      <c r="CD701" s="329" t="e">
        <f aca="false">FIND(",",BZ701)</f>
        <v>#VALUE!</v>
      </c>
      <c r="CE701" s="329" t="str">
        <f aca="false">IF(ISERROR(CD701),BZ701,MID(BZ701,CD701+2,20)&amp;" "&amp;LEFT(BZ701,CD701-1))&amp;IF(ISERROR(VALUE(CA701)),"",IF(CA701&gt;1," ("&amp;CA701&amp;")",""))</f>
        <v>Rope (50-foot length)</v>
      </c>
      <c r="CF701" s="329" t="n">
        <f aca="false">IF(CC701=" "," ",IF(ISERROR(VALUE(CA701)),CC701,CA701*CC701))</f>
        <v>0</v>
      </c>
      <c r="CG701" s="112" t="n">
        <f aca="false">CG700+IF(AND(BZ701&lt;&gt;0,CA701&lt;&gt;0),1,0)</f>
        <v>15</v>
      </c>
      <c r="CH701" s="112" t="n">
        <f aca="false">IF($BY701&lt;=CH$615,MATCH($BY701,CG$617:CG$863,0))</f>
        <v>0</v>
      </c>
    </row>
    <row r="702" s="32" customFormat="true" ht="12.75" hidden="false" customHeight="false" outlineLevel="0" collapsed="false">
      <c r="B702" s="279" t="n">
        <v>4</v>
      </c>
      <c r="C702" s="67" t="str">
        <f aca="false">IF(L22&lt;&gt;"",L22," ")</f>
        <v>Slough Blame</v>
      </c>
      <c r="D702" s="178" t="str">
        <f aca="false">C702</f>
        <v>Slough Blame</v>
      </c>
      <c r="E702" s="64" t="n">
        <f aca="false">O22</f>
        <v>5</v>
      </c>
      <c r="F702" s="182" t="n">
        <f aca="true">IF(D702=" "," ",OFFSET(Cost_1_4,E702,0))</f>
        <v>1900</v>
      </c>
      <c r="G702" s="64" t="n">
        <f aca="false">IF(C702&lt;&gt;" ",MATCH(D702,Talents!B$3:B$345,1),0)</f>
        <v>235</v>
      </c>
      <c r="H702" s="64" t="str">
        <f aca="true">IF(G702=0," ",OFFSET(Talents!C$2,G702,0))</f>
        <v>C</v>
      </c>
      <c r="I702" s="64" t="n">
        <f aca="false">IF(E702&gt;=0,P22,0)</f>
        <v>0</v>
      </c>
      <c r="J702" s="64" t="n">
        <f aca="false">IF(H702&lt;&gt;" ",E702+VLOOKUP(H702,G$597:L$603,6,0)+I702," ")</f>
        <v>11</v>
      </c>
      <c r="K702" s="64" t="str">
        <f aca="true">IF(J702&lt;&gt;" ",OFFSET(ActionDice,J702,0),"-")</f>
        <v>d10 + d8</v>
      </c>
      <c r="L702" s="67" t="n">
        <f aca="false">OR(RIGHT(C702, 3)="(D)", NOT(ISERROR(MATCH(D702&amp;" (D)", C$657:C$697, 0))))</f>
        <v>0</v>
      </c>
      <c r="M702" s="64" t="str">
        <f aca="true">IF(G702&gt;0,IF(L702,"D",OFFSET(Talents!D$2,G702,0))&amp;OFFSET(Talents!E$2,G702,0)," ")</f>
        <v>K/A/1</v>
      </c>
      <c r="N702" s="64" t="n">
        <f aca="false">AND(D702&lt;&gt;" ",OR(E702&lt;&gt;0,I702&lt;&gt;0))</f>
        <v>1</v>
      </c>
      <c r="O702" s="300" t="n">
        <f aca="false">O701+IF(N701,1,0)</f>
        <v>22</v>
      </c>
      <c r="P702" s="324" t="n">
        <f aca="false">IF(Build!$BY702&lt;=Build!P$615,MATCH(Build!$BY702,Build!O$617:O$714,0))</f>
        <v>0</v>
      </c>
      <c r="S702" s="56"/>
      <c r="T702" s="56"/>
      <c r="U702" s="300" t="n">
        <f aca="false">U701+IF(N418&lt;&gt;"",1,0)</f>
        <v>0</v>
      </c>
      <c r="V702" s="112" t="n">
        <f aca="false">V701+IF(N450&lt;&gt;"",1,0)</f>
        <v>0</v>
      </c>
      <c r="W702" s="112" t="n">
        <f aca="false">W701+IF(N482&lt;&gt;"",1,0)</f>
        <v>0</v>
      </c>
      <c r="X702" s="112" t="n">
        <f aca="false">X701+IF(N514&lt;&gt;"",1,0)</f>
        <v>0</v>
      </c>
      <c r="Y702" s="112" t="n">
        <f aca="false">Y701+IF(N546&lt;&gt;"",1,0)</f>
        <v>0</v>
      </c>
      <c r="Z702" s="324" t="n">
        <f aca="false">Z701+IF($N578&lt;&gt;"",1,0)</f>
        <v>0</v>
      </c>
      <c r="AA702" s="300" t="n">
        <f aca="false">IF($BY702&lt;=U$615,MATCH($BY702,U$617:U$737,0))</f>
        <v>0</v>
      </c>
      <c r="AB702" s="112" t="n">
        <f aca="false">IF($BY702&lt;=V$615,MATCH($BY702,V$617:V$737,0))</f>
        <v>0</v>
      </c>
      <c r="AC702" s="112" t="n">
        <f aca="false">IF($BY702&lt;=W$615,MATCH($BY702,W$617:W$737,0))</f>
        <v>0</v>
      </c>
      <c r="AD702" s="112" t="n">
        <f aca="false">IF($BY702&lt;=X$615,MATCH($BY702,X$617:X$737,0))</f>
        <v>0</v>
      </c>
      <c r="AE702" s="112" t="n">
        <f aca="false">IF($BY702&lt;=Y$615,MATCH($BY702,Y$617:Y$737,0))</f>
        <v>0</v>
      </c>
      <c r="AF702" s="324" t="n">
        <f aca="false">IF($BY702&lt;=Z$615,MATCH($BY702,Z$617:Z$737,0))</f>
        <v>0</v>
      </c>
      <c r="AG702" s="325" t="str">
        <f aca="true">IF(AND(AA702&lt;="",AP95=""),OFFSET(Spells!H$2,AA702,0),"")</f>
        <v>Effect</v>
      </c>
      <c r="AH702" s="325" t="str">
        <f aca="true">IF(AND(AB702&lt;="",AP95=""),OFFSET(Spells!R$2,AB702,0),"")</f>
        <v>Effect</v>
      </c>
      <c r="AI702" s="325" t="str">
        <f aca="true">IF(AND(AC702&lt;="",AP95=""),OFFSET(Spells!AB$2,AC702,0),"")</f>
        <v>Effect</v>
      </c>
      <c r="AJ702" s="326" t="str">
        <f aca="true">IF(AND(AD702&lt;="",AP95=""),OFFSET(Spells!AL$2,AD702,0),"")</f>
        <v>Effect</v>
      </c>
      <c r="AK702" s="326" t="str">
        <f aca="true">IF(AND(AE702&lt;="",AP95=""),OFFSET(Spells!AV$2,AE702,0),"")</f>
        <v>Effect</v>
      </c>
      <c r="AL702" s="325" t="str">
        <f aca="true">IF(AND(AF702&lt;="",AP93=""),OFFSET(Spells!$H$2,AF702,0),"")</f>
        <v>Effect</v>
      </c>
      <c r="AM702" s="56"/>
      <c r="AN702" s="42"/>
      <c r="AO702" s="42"/>
      <c r="AP702" s="42"/>
      <c r="AQ702" s="340"/>
      <c r="AR702" s="327" t="str">
        <f aca="false">T106&amp;IF(Z106&lt;&gt;"","("&amp;Z106&amp;")","")</f>
        <v>Maneuver</v>
      </c>
      <c r="AS702" s="112" t="n">
        <f aca="false">X106</f>
        <v>0</v>
      </c>
      <c r="AT702" s="112" t="n">
        <f aca="true">OFFSET(CostSkill,AS702,0)-OFFSET(CostSkill,W106,0)</f>
        <v>0</v>
      </c>
      <c r="AU702" s="112" t="str">
        <f aca="false">Y106</f>
        <v>D</v>
      </c>
      <c r="AV702" s="112" t="n">
        <f aca="false">AV701+IF(AND(AR702&lt;&gt;" ",AS702&gt;0),1,0)</f>
        <v>14</v>
      </c>
      <c r="AW702" s="324"/>
      <c r="AX702" s="327" t="n">
        <f aca="false">IF(Discipline2&lt;&gt;"",HLOOKUP(Discipline2,knackfordic,BY657)," ")</f>
        <v>0</v>
      </c>
      <c r="AY702" s="329" t="e">
        <f aca="false">IF(AX702&lt;&gt;" ",IF(ISERROR(MATCH(AX702,AX$621:AX$639,0)),MATCH(AX702,Talents!G$4:G$210)))</f>
        <v>#N/A</v>
      </c>
      <c r="AZ702" s="329" t="e">
        <f aca="true">IF(AY702,OFFSET(Talents!H$2,Build!AY702,0)," ")</f>
        <v>#N/A</v>
      </c>
      <c r="BA702" s="112" t="e">
        <f aca="true">IF(AY702,OFFSET(Talents!J$2,Build!AY702,0)," ")</f>
        <v>#N/A</v>
      </c>
      <c r="BB702" s="112" t="e">
        <f aca="true">IF(AY702,OFFSET(Talents!I$2,Build!AY702,0)," ")</f>
        <v>#N/A</v>
      </c>
      <c r="BC702" s="112" t="e">
        <f aca="true">IF(AY702,OFFSET(Talents!K$1,Build!AY702,0)," ")</f>
        <v>#N/A</v>
      </c>
      <c r="BD702" s="112" t="e">
        <f aca="true">IF(AY702=0,0,IF(ISERROR(MATCH(AZ702,D$616:D$656,0)),OFFSET(E$656,MATCH(AZ702,D$657:D$697,0),0),IF(OFFSET(E$615,MATCH(AZ702,D$616:D$656,0),0)&gt;OFFSET(E$656,MATCH(AZ702,D$657:D$697,0),0),OFFSET(E$615,MATCH(AZ702,D$616:D$656,0),0),OFFSET(E$656,MATCH(AZ702,D$657:D$697,0),0))))</f>
        <v>#N/A</v>
      </c>
      <c r="BE702" s="112" t="n">
        <f aca="false">BE701+IF(ISERROR(BD702), 0, IF(BD702&gt;=BB702, 1, 0))</f>
        <v>21</v>
      </c>
      <c r="BF702" s="324" t="n">
        <f aca="false">IF($BY679&lt;=BF$615,MATCH(BY679,BE$617:BE$681,0))</f>
        <v>0</v>
      </c>
      <c r="BY702" s="333" t="n">
        <f aca="false">BY701+1</f>
        <v>86</v>
      </c>
      <c r="BZ702" s="329" t="str">
        <f aca="false">B282</f>
        <v>Sack, Large</v>
      </c>
      <c r="CA702" s="112" t="n">
        <f aca="false">F282</f>
        <v>0</v>
      </c>
      <c r="CB702" s="112" t="n">
        <f aca="false">G282</f>
        <v>2</v>
      </c>
      <c r="CC702" s="112" t="n">
        <f aca="false">H282</f>
        <v>2</v>
      </c>
      <c r="CD702" s="329" t="n">
        <f aca="false">FIND(",",BZ702)</f>
        <v>5</v>
      </c>
      <c r="CE702" s="329" t="str">
        <f aca="false">IF(ISERROR(CD702),BZ702,MID(BZ702,CD702+2,20)&amp;" "&amp;LEFT(BZ702,CD702-1))&amp;IF(ISERROR(VALUE(CA702)),"",IF(CA702&gt;1," ("&amp;CA702&amp;")",""))</f>
        <v>Large Sack</v>
      </c>
      <c r="CF702" s="329" t="n">
        <f aca="false">IF(CC702=" "," ",IF(ISERROR(VALUE(CA702)),CC702,CA702*CC702))</f>
        <v>0</v>
      </c>
      <c r="CG702" s="112" t="n">
        <f aca="false">CG701+IF(AND(BZ702&lt;&gt;0,CA702&lt;&gt;0),1,0)</f>
        <v>15</v>
      </c>
      <c r="CH702" s="112" t="n">
        <f aca="false">IF($BY702&lt;=CH$615,MATCH($BY702,CG$617:CG$863,0))</f>
        <v>0</v>
      </c>
    </row>
    <row r="703" s="32" customFormat="true" ht="12.75" hidden="false" customHeight="false" outlineLevel="0" collapsed="false">
      <c r="B703" s="279" t="n">
        <v>5</v>
      </c>
      <c r="C703" s="67" t="str">
        <f aca="false">IF(L23&lt;&gt;"",L23," ")</f>
        <v>Earth Skin</v>
      </c>
      <c r="D703" s="178" t="str">
        <f aca="false">C703</f>
        <v>Earth Skin</v>
      </c>
      <c r="E703" s="64" t="n">
        <f aca="false">O23</f>
        <v>1</v>
      </c>
      <c r="F703" s="182" t="n">
        <f aca="true">IF(D703=" "," ",OFFSET(Cost_5_8,E703,0))</f>
        <v>200</v>
      </c>
      <c r="G703" s="64" t="n">
        <f aca="false">IF(C703&lt;&gt;" ",MATCH(D703,Talents!B$3:B$345,1),0)</f>
        <v>93</v>
      </c>
      <c r="H703" s="64" t="str">
        <f aca="true">IF(G703=0," ",OFFSET(Talents!C$2,G703,0))</f>
        <v>T</v>
      </c>
      <c r="I703" s="64" t="n">
        <f aca="false">IF(E703&gt;=0,P23,0)</f>
        <v>0</v>
      </c>
      <c r="J703" s="64" t="n">
        <f aca="false">IF(H703&lt;&gt;" ",E703+VLOOKUP(H703,G$597:L$603,6,0)+I703," ")</f>
        <v>7</v>
      </c>
      <c r="K703" s="64" t="str">
        <f aca="true">IF(J703&lt;&gt;" ",OFFSET(ActionDice,J703,0),"-")</f>
        <v>d12</v>
      </c>
      <c r="L703" s="67" t="n">
        <f aca="false">OR(RIGHT(C703, 3)="(D)", NOT(ISERROR(MATCH(D703&amp;" (D)", C$657:C$697, 0))))</f>
        <v>0</v>
      </c>
      <c r="M703" s="64" t="str">
        <f aca="true">IF(G703&gt;0,IF(L703,"D",OFFSET(Talents!D$2,G703,0))&amp;OFFSET(Talents!E$2,G703,0)," ")</f>
        <v>K/A/-</v>
      </c>
      <c r="N703" s="64" t="n">
        <f aca="false">AND(D703&lt;&gt;" ",OR(E703&lt;&gt;0,I703&lt;&gt;0))</f>
        <v>1</v>
      </c>
      <c r="O703" s="300" t="n">
        <f aca="false">O702+IF(N702,1,0)</f>
        <v>23</v>
      </c>
      <c r="P703" s="324" t="n">
        <f aca="false">IF(Build!$BY703&lt;=Build!P$615,MATCH(Build!$BY703,Build!O$617:O$714,0))</f>
        <v>0</v>
      </c>
      <c r="S703" s="56"/>
      <c r="T703" s="56"/>
      <c r="U703" s="300" t="n">
        <f aca="false">U702+IF(N419&lt;&gt;"",1,0)</f>
        <v>0</v>
      </c>
      <c r="V703" s="112" t="n">
        <f aca="false">V702+IF(N451&lt;&gt;"",1,0)</f>
        <v>0</v>
      </c>
      <c r="W703" s="112" t="n">
        <f aca="false">W702+IF(N483&lt;&gt;"",1,0)</f>
        <v>0</v>
      </c>
      <c r="X703" s="112" t="n">
        <f aca="false">X702+IF(N515&lt;&gt;"",1,0)</f>
        <v>0</v>
      </c>
      <c r="Y703" s="112" t="n">
        <f aca="false">Y702+IF(N547&lt;&gt;"",1,0)</f>
        <v>0</v>
      </c>
      <c r="Z703" s="324" t="n">
        <f aca="false">Z702+IF($N579&lt;&gt;"",1,0)</f>
        <v>0</v>
      </c>
      <c r="AA703" s="300" t="n">
        <f aca="false">IF($BY703&lt;=U$615,MATCH($BY703,U$617:U$737,0))</f>
        <v>0</v>
      </c>
      <c r="AB703" s="112" t="n">
        <f aca="false">IF($BY703&lt;=V$615,MATCH($BY703,V$617:V$737,0))</f>
        <v>0</v>
      </c>
      <c r="AC703" s="112" t="n">
        <f aca="false">IF($BY703&lt;=W$615,MATCH($BY703,W$617:W$737,0))</f>
        <v>0</v>
      </c>
      <c r="AD703" s="112" t="n">
        <f aca="false">IF($BY703&lt;=X$615,MATCH($BY703,X$617:X$737,0))</f>
        <v>0</v>
      </c>
      <c r="AE703" s="112" t="n">
        <f aca="false">IF($BY703&lt;=Y$615,MATCH($BY703,Y$617:Y$737,0))</f>
        <v>0</v>
      </c>
      <c r="AF703" s="324" t="n">
        <f aca="false">IF($BY703&lt;=Z$615,MATCH($BY703,Z$617:Z$737,0))</f>
        <v>0</v>
      </c>
      <c r="AG703" s="325" t="str">
        <f aca="true">IF(AND(AA703&lt;="",AP96=""),OFFSET(Spells!H$2,AA703,0),"")</f>
        <v>Effect</v>
      </c>
      <c r="AH703" s="325" t="str">
        <f aca="true">IF(AND(AB703&lt;="",AP96=""),OFFSET(Spells!R$2,AB703,0),"")</f>
        <v>Effect</v>
      </c>
      <c r="AI703" s="325" t="str">
        <f aca="true">IF(AND(AC703&lt;="",AP96=""),OFFSET(Spells!AB$2,AC703,0),"")</f>
        <v>Effect</v>
      </c>
      <c r="AJ703" s="326" t="str">
        <f aca="true">IF(AND(AD703&lt;="",AP96=""),OFFSET(Spells!AL$2,AD703,0),"")</f>
        <v>Effect</v>
      </c>
      <c r="AK703" s="326" t="str">
        <f aca="true">IF(AND(AE703&lt;="",AP96=""),OFFSET(Spells!AV$2,AE703,0),"")</f>
        <v>Effect</v>
      </c>
      <c r="AL703" s="325" t="str">
        <f aca="true">IF(AND(AF703&lt;="",AP94=""),OFFSET(Spells!$H$2,AF703,0),"")</f>
        <v>Effect</v>
      </c>
      <c r="AM703" s="56"/>
      <c r="AN703" s="42"/>
      <c r="AO703" s="42"/>
      <c r="AP703" s="42"/>
      <c r="AQ703" s="340"/>
      <c r="AR703" s="327" t="str">
        <f aca="false">T107&amp;IF(Z107&lt;&gt;"","("&amp;Z107&amp;")","")</f>
        <v>Mapmaking</v>
      </c>
      <c r="AS703" s="112" t="n">
        <f aca="false">X107</f>
        <v>0</v>
      </c>
      <c r="AT703" s="112" t="n">
        <f aca="true">OFFSET(CostSkill,AS703,0)-OFFSET(CostSkill,W107,0)</f>
        <v>0</v>
      </c>
      <c r="AU703" s="112" t="str">
        <f aca="false">Y107</f>
        <v>P</v>
      </c>
      <c r="AV703" s="112" t="n">
        <f aca="false">AV702+IF(AND(AR703&lt;&gt;" ",AS703&gt;0),1,0)</f>
        <v>14</v>
      </c>
      <c r="AW703" s="324"/>
      <c r="AX703" s="327" t="n">
        <f aca="false">IF(Discipline2&lt;&gt;"",HLOOKUP(Discipline2,knackfordic,BY658)," ")</f>
        <v>0</v>
      </c>
      <c r="AY703" s="329" t="e">
        <f aca="false">IF(AX703&lt;&gt;" ",IF(ISERROR(MATCH(AX703,AX$621:AX$639,0)),MATCH(AX703,Talents!G$4:G$210)))</f>
        <v>#N/A</v>
      </c>
      <c r="AZ703" s="329" t="e">
        <f aca="true">IF(AY703,OFFSET(Talents!H$2,Build!AY703,0)," ")</f>
        <v>#N/A</v>
      </c>
      <c r="BA703" s="112" t="e">
        <f aca="true">IF(AY703,OFFSET(Talents!J$2,Build!AY703,0)," ")</f>
        <v>#N/A</v>
      </c>
      <c r="BB703" s="112" t="e">
        <f aca="true">IF(AY703,OFFSET(Talents!I$2,Build!AY703,0)," ")</f>
        <v>#N/A</v>
      </c>
      <c r="BC703" s="112" t="e">
        <f aca="true">IF(AY703,OFFSET(Talents!K$1,Build!AY703,0)," ")</f>
        <v>#N/A</v>
      </c>
      <c r="BD703" s="112" t="e">
        <f aca="true">IF(AY703=0,0,IF(ISERROR(MATCH(AZ703,D$616:D$656,0)),OFFSET(E$656,MATCH(AZ703,D$657:D$697,0),0),IF(OFFSET(E$615,MATCH(AZ703,D$616:D$656,0),0)&gt;OFFSET(E$656,MATCH(AZ703,D$657:D$697,0),0),OFFSET(E$615,MATCH(AZ703,D$616:D$656,0),0),OFFSET(E$656,MATCH(AZ703,D$657:D$697,0),0))))</f>
        <v>#N/A</v>
      </c>
      <c r="BE703" s="112" t="n">
        <f aca="false">BE702+IF(ISERROR(BD703), 0, IF(BD703&gt;=BB703, 1, 0))</f>
        <v>21</v>
      </c>
      <c r="BF703" s="324" t="n">
        <f aca="false">IF($BY680&lt;=BF$615,MATCH(BY680,BE$617:BE$681,0))</f>
        <v>0</v>
      </c>
      <c r="BY703" s="333" t="n">
        <f aca="false">BY702+1</f>
        <v>87</v>
      </c>
      <c r="BZ703" s="329" t="str">
        <f aca="false">B283</f>
        <v>Sack, Small</v>
      </c>
      <c r="CA703" s="112" t="n">
        <f aca="false">F283</f>
        <v>2</v>
      </c>
      <c r="CB703" s="112" t="n">
        <f aca="false">G283</f>
        <v>1</v>
      </c>
      <c r="CC703" s="112" t="n">
        <f aca="false">H283</f>
        <v>1</v>
      </c>
      <c r="CD703" s="329" t="n">
        <f aca="false">FIND(",",BZ703)</f>
        <v>5</v>
      </c>
      <c r="CE703" s="329" t="str">
        <f aca="false">IF(ISERROR(CD703),BZ703,MID(BZ703,CD703+2,20)&amp;" "&amp;LEFT(BZ703,CD703-1))&amp;IF(ISERROR(VALUE(CA703)),"",IF(CA703&gt;1," ("&amp;CA703&amp;")",""))</f>
        <v>Small Sack (2)</v>
      </c>
      <c r="CF703" s="329" t="n">
        <f aca="false">IF(CC703=" "," ",IF(ISERROR(VALUE(CA703)),CC703,CA703*CC703))</f>
        <v>2</v>
      </c>
      <c r="CG703" s="112" t="n">
        <f aca="false">CG702+IF(AND(BZ703&lt;&gt;0,CA703&lt;&gt;0),1,0)</f>
        <v>16</v>
      </c>
      <c r="CH703" s="112" t="n">
        <f aca="false">IF($BY703&lt;=CH$615,MATCH($BY703,CG$617:CG$863,0))</f>
        <v>0</v>
      </c>
    </row>
    <row r="704" s="32" customFormat="true" ht="12.75" hidden="false" customHeight="false" outlineLevel="0" collapsed="false">
      <c r="B704" s="279" t="n">
        <v>6</v>
      </c>
      <c r="C704" s="67" t="str">
        <f aca="false">IF(L24&lt;&gt;"",L24," ")</f>
        <v> </v>
      </c>
      <c r="D704" s="178" t="str">
        <f aca="false">C704</f>
        <v> </v>
      </c>
      <c r="E704" s="64" t="n">
        <f aca="false">O24</f>
        <v>0</v>
      </c>
      <c r="F704" s="182" t="str">
        <f aca="true">IF(D704=" "," ",OFFSET(Cost_1_4,E704,0))</f>
        <v> </v>
      </c>
      <c r="G704" s="64" t="n">
        <f aca="false">IF(C704&lt;&gt;" ",MATCH(D704,Talents!B$3:B$345,1),0)</f>
        <v>0</v>
      </c>
      <c r="H704" s="64" t="str">
        <f aca="true">IF(G704=0," ",OFFSET(Talents!C$2,G704,0))</f>
        <v> </v>
      </c>
      <c r="I704" s="64" t="n">
        <f aca="false">IF(E704&gt;=0,P24,0)</f>
        <v>0</v>
      </c>
      <c r="J704" s="64" t="str">
        <f aca="false">IF(H704&lt;&gt;" ",E704+VLOOKUP(H704,G$597:L$603,6,0)+I704," ")</f>
        <v> </v>
      </c>
      <c r="K704" s="64" t="str">
        <f aca="true">IF(J704&lt;&gt;" ",OFFSET(ActionDice,J704,0),"-")</f>
        <v>-</v>
      </c>
      <c r="L704" s="67" t="n">
        <f aca="false">OR(RIGHT(C704, 3)="(D)", NOT(ISERROR(MATCH(D704&amp;" (D)", C$657:C$697, 0))))</f>
        <v>0</v>
      </c>
      <c r="M704" s="64" t="str">
        <f aca="true">IF(G704&gt;0,IF(L704,"D",OFFSET(Talents!D$2,G704,0))&amp;OFFSET(Talents!E$2,G704,0)," ")</f>
        <v> </v>
      </c>
      <c r="N704" s="64" t="n">
        <f aca="false">AND(D704&lt;&gt;" ",OR(E704&lt;&gt;0,I704&lt;&gt;0))</f>
        <v>0</v>
      </c>
      <c r="O704" s="300" t="n">
        <f aca="false">O703+IF(N703,1,0)</f>
        <v>24</v>
      </c>
      <c r="P704" s="324" t="n">
        <f aca="false">IF(Build!$BY704&lt;=Build!P$615,MATCH(Build!$BY704,Build!O$617:O$714,0))</f>
        <v>0</v>
      </c>
      <c r="S704" s="56"/>
      <c r="T704" s="56"/>
      <c r="U704" s="300" t="n">
        <f aca="false">U703+IF(N420&lt;&gt;"",1,0)</f>
        <v>0</v>
      </c>
      <c r="V704" s="112" t="n">
        <f aca="false">V703+IF(N452&lt;&gt;"",1,0)</f>
        <v>0</v>
      </c>
      <c r="W704" s="112" t="n">
        <f aca="false">W703+IF(N484&lt;&gt;"",1,0)</f>
        <v>0</v>
      </c>
      <c r="X704" s="112" t="n">
        <f aca="false">X703+IF(N516&lt;&gt;"",1,0)</f>
        <v>0</v>
      </c>
      <c r="Y704" s="112" t="n">
        <f aca="false">Y703+IF(N548&lt;&gt;"",1,0)</f>
        <v>0</v>
      </c>
      <c r="Z704" s="324" t="n">
        <f aca="false">Z703+IF($N580&lt;&gt;"",1,0)</f>
        <v>0</v>
      </c>
      <c r="AA704" s="300" t="n">
        <f aca="false">IF($BY704&lt;=U$615,MATCH($BY704,U$617:U$737,0))</f>
        <v>0</v>
      </c>
      <c r="AB704" s="112" t="n">
        <f aca="false">IF($BY704&lt;=V$615,MATCH($BY704,V$617:V$737,0))</f>
        <v>0</v>
      </c>
      <c r="AC704" s="112" t="n">
        <f aca="false">IF($BY704&lt;=W$615,MATCH($BY704,W$617:W$737,0))</f>
        <v>0</v>
      </c>
      <c r="AD704" s="112" t="n">
        <f aca="false">IF($BY704&lt;=X$615,MATCH($BY704,X$617:X$737,0))</f>
        <v>0</v>
      </c>
      <c r="AE704" s="112" t="n">
        <f aca="false">IF($BY704&lt;=Y$615,MATCH($BY704,Y$617:Y$737,0))</f>
        <v>0</v>
      </c>
      <c r="AF704" s="324" t="n">
        <f aca="false">IF($BY704&lt;=Z$615,MATCH($BY704,Z$617:Z$737,0))</f>
        <v>0</v>
      </c>
      <c r="AG704" s="325" t="str">
        <f aca="true">IF(AND(AA704&lt;="",AP97=""),OFFSET(Spells!H$2,AA704,0),"")</f>
        <v>Effect</v>
      </c>
      <c r="AH704" s="325" t="str">
        <f aca="true">IF(AND(AB704&lt;="",AP97=""),OFFSET(Spells!R$2,AB704,0),"")</f>
        <v>Effect</v>
      </c>
      <c r="AI704" s="325" t="str">
        <f aca="true">IF(AND(AC704&lt;="",AP97=""),OFFSET(Spells!AB$2,AC704,0),"")</f>
        <v>Effect</v>
      </c>
      <c r="AJ704" s="326" t="str">
        <f aca="true">IF(AND(AD704&lt;="",AP97=""),OFFSET(Spells!AL$2,AD704,0),"")</f>
        <v>Effect</v>
      </c>
      <c r="AK704" s="326" t="str">
        <f aca="true">IF(AND(AE704&lt;="",AP97=""),OFFSET(Spells!AV$2,AE704,0),"")</f>
        <v>Effect</v>
      </c>
      <c r="AL704" s="325" t="str">
        <f aca="true">IF(AND(AF704&lt;="",AP95=""),OFFSET(Spells!$H$2,AF704,0),"")</f>
        <v>Effect</v>
      </c>
      <c r="AM704" s="56"/>
      <c r="AN704" s="42"/>
      <c r="AO704" s="42"/>
      <c r="AP704" s="42"/>
      <c r="AQ704" s="340"/>
      <c r="AR704" s="327" t="str">
        <f aca="false">T108&amp;IF(Z108&lt;&gt;"","("&amp;Z108&amp;")","")</f>
        <v>Melee Weapons</v>
      </c>
      <c r="AS704" s="112" t="n">
        <f aca="false">X108</f>
        <v>0</v>
      </c>
      <c r="AT704" s="112" t="n">
        <f aca="true">OFFSET(CostSkill,AS704,0)-OFFSET(CostSkill,W108,0)</f>
        <v>0</v>
      </c>
      <c r="AU704" s="112" t="str">
        <f aca="false">Y108</f>
        <v>D</v>
      </c>
      <c r="AV704" s="112" t="n">
        <f aca="false">AV703+IF(AND(AR704&lt;&gt;" ",AS704&gt;0),1,0)</f>
        <v>14</v>
      </c>
      <c r="AW704" s="324"/>
      <c r="AX704" s="335" t="n">
        <f aca="false">IF(Discipline2&lt;&gt;"",HLOOKUP(Discipline2,knackfordic,BY659)," ")</f>
        <v>0</v>
      </c>
      <c r="AY704" s="174" t="e">
        <f aca="false">IF(AX704&lt;&gt;" ",IF(ISERROR(MATCH(AX704,AX$621:AX$639,0)),MATCH(AX704,Talents!G$4:G$210)))</f>
        <v>#N/A</v>
      </c>
      <c r="AZ704" s="174" t="e">
        <f aca="true">IF(AY704,OFFSET(Talents!H$2,Build!AY704,0)," ")</f>
        <v>#N/A</v>
      </c>
      <c r="BA704" s="175" t="e">
        <f aca="true">IF(AY704,OFFSET(Talents!J$2,Build!AY704,0)," ")</f>
        <v>#N/A</v>
      </c>
      <c r="BB704" s="175" t="e">
        <f aca="true">IF(AY704,OFFSET(Talents!I$2,Build!AY704,0)," ")</f>
        <v>#N/A</v>
      </c>
      <c r="BC704" s="175" t="e">
        <f aca="true">IF(AY704,OFFSET(Talents!K$1,Build!AY704,0)," ")</f>
        <v>#N/A</v>
      </c>
      <c r="BD704" s="175" t="e">
        <f aca="true">IF(AY704=0,0,IF(ISERROR(MATCH(AZ704,D$616:D$656,0)),OFFSET(E$656,MATCH(AZ704,D$657:D$697,0),0),IF(OFFSET(E$615,MATCH(AZ704,D$616:D$656,0),0)&gt;OFFSET(E$656,MATCH(AZ704,D$657:D$697,0),0),OFFSET(E$615,MATCH(AZ704,D$616:D$656,0),0),OFFSET(E$656,MATCH(AZ704,D$657:D$697,0),0))))</f>
        <v>#N/A</v>
      </c>
      <c r="BE704" s="112" t="n">
        <f aca="false">BE703+IF(ISERROR(BD704), 0, IF(BD704&gt;=BB704, 1, 0))</f>
        <v>21</v>
      </c>
      <c r="BF704" s="289" t="n">
        <f aca="false">IF($BY681&lt;=BF$615,MATCH(BY681,BE$617:BE$681,0))</f>
        <v>0</v>
      </c>
      <c r="BY704" s="333" t="n">
        <f aca="false">BY703+1</f>
        <v>88</v>
      </c>
      <c r="BZ704" s="329" t="str">
        <f aca="false">B284</f>
        <v>Tent (two-person)</v>
      </c>
      <c r="CA704" s="112" t="n">
        <f aca="false">F284</f>
        <v>1</v>
      </c>
      <c r="CB704" s="112" t="n">
        <f aca="false">G284</f>
        <v>30</v>
      </c>
      <c r="CC704" s="112" t="n">
        <f aca="false">H284</f>
        <v>20</v>
      </c>
      <c r="CD704" s="329" t="e">
        <f aca="false">FIND(",",BZ704)</f>
        <v>#VALUE!</v>
      </c>
      <c r="CE704" s="329" t="str">
        <f aca="false">IF(ISERROR(CD704),BZ704,MID(BZ704,CD704+2,20)&amp;" "&amp;LEFT(BZ704,CD704-1))&amp;IF(ISERROR(VALUE(CA704)),"",IF(CA704&gt;1," ("&amp;CA704&amp;")",""))</f>
        <v>Tent (two-person)</v>
      </c>
      <c r="CF704" s="329" t="n">
        <f aca="false">IF(CC704=" "," ",IF(ISERROR(VALUE(CA704)),CC704,CA704*CC704))</f>
        <v>20</v>
      </c>
      <c r="CG704" s="112" t="n">
        <f aca="false">CG703+IF(AND(BZ704&lt;&gt;0,CA704&lt;&gt;0),1,0)</f>
        <v>17</v>
      </c>
      <c r="CH704" s="112" t="n">
        <f aca="false">IF($BY704&lt;=CH$615,MATCH($BY704,CG$617:CG$863,0))</f>
        <v>0</v>
      </c>
    </row>
    <row r="705" s="32" customFormat="true" ht="12.75" hidden="false" customHeight="false" outlineLevel="0" collapsed="false">
      <c r="B705" s="279" t="n">
        <v>7</v>
      </c>
      <c r="C705" s="67" t="str">
        <f aca="false">IF(L25&lt;&gt;"",L25," ")</f>
        <v> </v>
      </c>
      <c r="D705" s="178" t="str">
        <f aca="false">C705</f>
        <v> </v>
      </c>
      <c r="E705" s="64" t="n">
        <f aca="false">O25</f>
        <v>0</v>
      </c>
      <c r="F705" s="182" t="str">
        <f aca="true">IF(D705=" "," ",OFFSET(Cost_1_4,E705,0))</f>
        <v> </v>
      </c>
      <c r="G705" s="64" t="n">
        <f aca="false">IF(C705&lt;&gt;" ",MATCH(D705,Talents!B$3:B$345,1),0)</f>
        <v>0</v>
      </c>
      <c r="H705" s="64" t="str">
        <f aca="true">IF(G705=0," ",OFFSET(Talents!C$2,G705,0))</f>
        <v> </v>
      </c>
      <c r="I705" s="64" t="n">
        <f aca="false">IF(E705&gt;=0,P25,0)</f>
        <v>0</v>
      </c>
      <c r="J705" s="64" t="str">
        <f aca="false">IF(H705&lt;&gt;" ",E705+VLOOKUP(H705,G$597:L$603,6,0)+I705," ")</f>
        <v> </v>
      </c>
      <c r="K705" s="64" t="str">
        <f aca="true">IF(J705&lt;&gt;" ",OFFSET(ActionDice,J705,0),"-")</f>
        <v>-</v>
      </c>
      <c r="L705" s="67" t="n">
        <f aca="false">OR(RIGHT(C705, 3)="(D)", NOT(ISERROR(MATCH(D705&amp;" (D)", C$657:C$697, 0))))</f>
        <v>0</v>
      </c>
      <c r="M705" s="64" t="str">
        <f aca="true">IF(G705&gt;0,IF(L705,"D",OFFSET(Talents!D$2,G705,0))&amp;OFFSET(Talents!E$2,G705,0)," ")</f>
        <v> </v>
      </c>
      <c r="N705" s="64" t="n">
        <f aca="false">AND(D705&lt;&gt;" ",OR(E705&lt;&gt;0,I705&lt;&gt;0))</f>
        <v>0</v>
      </c>
      <c r="O705" s="300" t="n">
        <f aca="false">O704+IF(N704,1,0)</f>
        <v>24</v>
      </c>
      <c r="P705" s="324" t="n">
        <f aca="false">IF(Build!$BY705&lt;=Build!P$615,MATCH(Build!$BY705,Build!O$617:O$714,0))</f>
        <v>0</v>
      </c>
      <c r="S705" s="56"/>
      <c r="T705" s="56"/>
      <c r="U705" s="300" t="n">
        <f aca="false">U704+IF(N421&lt;&gt;"",1,0)</f>
        <v>0</v>
      </c>
      <c r="V705" s="112" t="n">
        <f aca="false">V704+IF(N453&lt;&gt;"",1,0)</f>
        <v>0</v>
      </c>
      <c r="W705" s="112" t="n">
        <f aca="false">W704+IF(N485&lt;&gt;"",1,0)</f>
        <v>0</v>
      </c>
      <c r="X705" s="112" t="n">
        <f aca="false">X704+IF(N517&lt;&gt;"",1,0)</f>
        <v>0</v>
      </c>
      <c r="Y705" s="112" t="n">
        <f aca="false">Y704+IF(N549&lt;&gt;"",1,0)</f>
        <v>0</v>
      </c>
      <c r="Z705" s="324" t="n">
        <f aca="false">Z704+IF($N581&lt;&gt;"",1,0)</f>
        <v>0</v>
      </c>
      <c r="AA705" s="300" t="n">
        <f aca="false">IF($BY705&lt;=U$615,MATCH($BY705,U$617:U$737,0))</f>
        <v>0</v>
      </c>
      <c r="AB705" s="112" t="n">
        <f aca="false">IF($BY705&lt;=V$615,MATCH($BY705,V$617:V$737,0))</f>
        <v>0</v>
      </c>
      <c r="AC705" s="112" t="n">
        <f aca="false">IF($BY705&lt;=W$615,MATCH($BY705,W$617:W$737,0))</f>
        <v>0</v>
      </c>
      <c r="AD705" s="112" t="n">
        <f aca="false">IF($BY705&lt;=X$615,MATCH($BY705,X$617:X$737,0))</f>
        <v>0</v>
      </c>
      <c r="AE705" s="112" t="n">
        <f aca="false">IF($BY705&lt;=Y$615,MATCH($BY705,Y$617:Y$737,0))</f>
        <v>0</v>
      </c>
      <c r="AF705" s="324" t="n">
        <f aca="false">IF($BY705&lt;=Z$615,MATCH($BY705,Z$617:Z$737,0))</f>
        <v>0</v>
      </c>
      <c r="AG705" s="325" t="str">
        <f aca="true">IF(AND(AA705&lt;="",AP98=""),OFFSET(Spells!H$2,AA705,0),"")</f>
        <v>Effect</v>
      </c>
      <c r="AH705" s="325" t="str">
        <f aca="true">IF(AND(AB705&lt;="",AP98=""),OFFSET(Spells!R$2,AB705,0),"")</f>
        <v>Effect</v>
      </c>
      <c r="AI705" s="325" t="str">
        <f aca="true">IF(AND(AC705&lt;="",AP98=""),OFFSET(Spells!AB$2,AC705,0),"")</f>
        <v>Effect</v>
      </c>
      <c r="AJ705" s="326" t="str">
        <f aca="true">IF(AND(AD705&lt;="",AP98=""),OFFSET(Spells!AL$2,AD705,0),"")</f>
        <v>Effect</v>
      </c>
      <c r="AK705" s="326" t="str">
        <f aca="true">IF(AND(AE705&lt;="",AP98=""),OFFSET(Spells!AV$2,AE705,0),"")</f>
        <v>Effect</v>
      </c>
      <c r="AL705" s="325" t="str">
        <f aca="true">IF(AND(AF705&lt;="",AP96=""),OFFSET(Spells!$H$2,AF705,0),"")</f>
        <v>Effect</v>
      </c>
      <c r="AM705" s="56"/>
      <c r="AN705" s="42"/>
      <c r="AO705" s="42"/>
      <c r="AP705" s="42"/>
      <c r="AQ705" s="340"/>
      <c r="AR705" s="327" t="str">
        <f aca="false">T109&amp;IF(Z109&lt;&gt;"","("&amp;Z109&amp;")","")</f>
        <v>Mimic Voice</v>
      </c>
      <c r="AS705" s="112" t="n">
        <f aca="false">X109</f>
        <v>1</v>
      </c>
      <c r="AT705" s="112" t="n">
        <f aca="true">OFFSET(CostSkill,AS705,0)-OFFSET(CostSkill,W109,0)</f>
        <v>0</v>
      </c>
      <c r="AU705" s="112" t="str">
        <f aca="false">Y109</f>
        <v>P</v>
      </c>
      <c r="AV705" s="112" t="n">
        <f aca="false">AV704+IF(AND(AR705&lt;&gt;" ",AS705&gt;0),1,0)</f>
        <v>15</v>
      </c>
      <c r="AW705" s="324"/>
      <c r="BY705" s="333" t="n">
        <f aca="false">BY704+1</f>
        <v>89</v>
      </c>
      <c r="BZ705" s="329" t="str">
        <f aca="false">B285</f>
        <v>Thieves' Picks and Tools</v>
      </c>
      <c r="CA705" s="112" t="n">
        <f aca="false">F285</f>
        <v>1</v>
      </c>
      <c r="CB705" s="112" t="n">
        <f aca="false">G285</f>
        <v>100</v>
      </c>
      <c r="CC705" s="112" t="n">
        <f aca="false">H285</f>
        <v>1</v>
      </c>
      <c r="CD705" s="329" t="e">
        <f aca="false">FIND(",",BZ705)</f>
        <v>#VALUE!</v>
      </c>
      <c r="CE705" s="329" t="str">
        <f aca="false">IF(ISERROR(CD705),BZ705,MID(BZ705,CD705+2,20)&amp;" "&amp;LEFT(BZ705,CD705-1))&amp;IF(ISERROR(VALUE(CA705)),"",IF(CA705&gt;1," ("&amp;CA705&amp;")",""))</f>
        <v>Thieves' Picks and Tools</v>
      </c>
      <c r="CF705" s="329" t="n">
        <f aca="false">IF(CC705=" "," ",IF(ISERROR(VALUE(CA705)),CC705,CA705*CC705))</f>
        <v>1</v>
      </c>
      <c r="CG705" s="112" t="n">
        <f aca="false">CG704+IF(AND(BZ705&lt;&gt;0,CA705&lt;&gt;0),1,0)</f>
        <v>18</v>
      </c>
      <c r="CH705" s="112" t="n">
        <f aca="false">IF($BY705&lt;=CH$615,MATCH($BY705,CG$617:CG$863,0))</f>
        <v>0</v>
      </c>
    </row>
    <row r="706" s="32" customFormat="true" ht="12.75" hidden="false" customHeight="false" outlineLevel="0" collapsed="false">
      <c r="B706" s="279" t="n">
        <v>8</v>
      </c>
      <c r="C706" s="67" t="str">
        <f aca="false">IF(L26&lt;&gt;"",L26," ")</f>
        <v> </v>
      </c>
      <c r="D706" s="178" t="str">
        <f aca="false">C706</f>
        <v> </v>
      </c>
      <c r="E706" s="64" t="n">
        <f aca="false">O26</f>
        <v>0</v>
      </c>
      <c r="F706" s="182" t="str">
        <f aca="true">IF(D706=" "," ",OFFSET(Cost_1_4,E706,0))</f>
        <v> </v>
      </c>
      <c r="G706" s="64" t="n">
        <f aca="false">IF(C706&lt;&gt;" ",MATCH(D706,Talents!B$3:B$345,1),0)</f>
        <v>0</v>
      </c>
      <c r="H706" s="64" t="str">
        <f aca="true">IF(G706=0," ",OFFSET(Talents!C$2,G706,0))</f>
        <v> </v>
      </c>
      <c r="I706" s="64" t="n">
        <f aca="false">IF(E706&gt;=0,P26,0)</f>
        <v>0</v>
      </c>
      <c r="J706" s="64" t="str">
        <f aca="false">IF(H706&lt;&gt;" ",E706+VLOOKUP(H706,G$597:L$603,6,0)+I706," ")</f>
        <v> </v>
      </c>
      <c r="K706" s="64" t="str">
        <f aca="true">IF(J706&lt;&gt;" ",OFFSET(ActionDice,J706,0),"-")</f>
        <v>-</v>
      </c>
      <c r="L706" s="67" t="n">
        <f aca="false">OR(RIGHT(C706, 3)="(D)", NOT(ISERROR(MATCH(D706&amp;" (D)", C$657:C$697, 0))))</f>
        <v>0</v>
      </c>
      <c r="M706" s="64" t="str">
        <f aca="true">IF(G706&gt;0,IF(L706,"D",OFFSET(Talents!D$2,G706,0))&amp;OFFSET(Talents!E$2,G706,0)," ")</f>
        <v> </v>
      </c>
      <c r="N706" s="64" t="n">
        <f aca="false">AND(D706&lt;&gt;" ",OR(E706&lt;&gt;0,I706&lt;&gt;0))</f>
        <v>0</v>
      </c>
      <c r="O706" s="300" t="n">
        <f aca="false">O705+IF(N705,1,0)</f>
        <v>24</v>
      </c>
      <c r="P706" s="324" t="n">
        <f aca="false">IF(Build!$BY706&lt;=Build!P$615,MATCH(Build!$BY706,Build!O$617:O$714,0))</f>
        <v>0</v>
      </c>
      <c r="S706" s="56"/>
      <c r="T706" s="56"/>
      <c r="U706" s="300" t="n">
        <f aca="false">U705+IF(N422&lt;&gt;"",1,0)</f>
        <v>0</v>
      </c>
      <c r="V706" s="112" t="n">
        <f aca="false">V705+IF(N454&lt;&gt;"",1,0)</f>
        <v>0</v>
      </c>
      <c r="W706" s="112" t="n">
        <f aca="false">W705+IF(N486&lt;&gt;"",1,0)</f>
        <v>0</v>
      </c>
      <c r="X706" s="112" t="n">
        <f aca="false">X705+IF(N518&lt;&gt;"",1,0)</f>
        <v>0</v>
      </c>
      <c r="Y706" s="112" t="n">
        <f aca="false">Y705+IF(N550&lt;&gt;"",1,0)</f>
        <v>0</v>
      </c>
      <c r="Z706" s="289" t="n">
        <f aca="false">Z705+IF($N582&lt;&gt;"",1,0)</f>
        <v>0</v>
      </c>
      <c r="AA706" s="300" t="n">
        <f aca="false">IF($BY706&lt;=U$615,MATCH($BY706,U$617:U$737,0))</f>
        <v>0</v>
      </c>
      <c r="AB706" s="112" t="n">
        <f aca="false">IF($BY706&lt;=V$615,MATCH($BY706,V$617:V$737,0))</f>
        <v>0</v>
      </c>
      <c r="AC706" s="112" t="n">
        <f aca="false">IF($BY706&lt;=W$615,MATCH($BY706,W$617:W$737,0))</f>
        <v>0</v>
      </c>
      <c r="AD706" s="112" t="n">
        <f aca="false">IF($BY706&lt;=X$615,MATCH($BY706,X$617:X$737,0))</f>
        <v>0</v>
      </c>
      <c r="AE706" s="112" t="n">
        <f aca="false">IF($BY706&lt;=Y$615,MATCH($BY706,Y$617:Y$737,0))</f>
        <v>0</v>
      </c>
      <c r="AF706" s="324" t="n">
        <f aca="false">IF($BY706&lt;=Z$615,MATCH($BY706,Z$617:Z$737,0))</f>
        <v>0</v>
      </c>
      <c r="AG706" s="325" t="str">
        <f aca="true">IF(AND(AA706&lt;="",AP99=""),OFFSET(Spells!H$2,AA706,0),"")</f>
        <v>Effect</v>
      </c>
      <c r="AH706" s="325" t="str">
        <f aca="true">IF(AND(AB706&lt;="",AP99=""),OFFSET(Spells!R$2,AB706,0),"")</f>
        <v>Effect</v>
      </c>
      <c r="AI706" s="325" t="str">
        <f aca="true">IF(AND(AC706&lt;="",AP99=""),OFFSET(Spells!AB$2,AC706,0),"")</f>
        <v>Effect</v>
      </c>
      <c r="AJ706" s="326" t="str">
        <f aca="true">IF(AND(AD706&lt;="",AP99=""),OFFSET(Spells!AL$2,AD706,0),"")</f>
        <v>Effect</v>
      </c>
      <c r="AK706" s="326" t="str">
        <f aca="true">IF(AND(AE706&lt;="",AP99=""),OFFSET(Spells!AV$2,AE706,0),"")</f>
        <v>Effect</v>
      </c>
      <c r="AL706" s="325" t="str">
        <f aca="true">IF(AND(AF706&lt;="",AP97=""),OFFSET(Spells!$H$2,AF706,0),"")</f>
        <v>Effect</v>
      </c>
      <c r="AM706" s="56"/>
      <c r="AN706" s="42"/>
      <c r="AO706" s="42"/>
      <c r="AP706" s="42"/>
      <c r="AQ706" s="340"/>
      <c r="AR706" s="327" t="str">
        <f aca="false">T110&amp;IF(Z110&lt;&gt;"","("&amp;Z110&amp;")","")</f>
        <v>Missile Weapons</v>
      </c>
      <c r="AS706" s="112" t="n">
        <f aca="false">X110</f>
        <v>0</v>
      </c>
      <c r="AT706" s="112" t="n">
        <f aca="true">OFFSET(CostSkill,AS706,0)-OFFSET(CostSkill,W110,0)</f>
        <v>0</v>
      </c>
      <c r="AU706" s="112" t="str">
        <f aca="false">Y110</f>
        <v>D</v>
      </c>
      <c r="AV706" s="112" t="n">
        <f aca="false">AV705+IF(AND(AR706&lt;&gt;" ",AS706&gt;0),1,0)</f>
        <v>15</v>
      </c>
      <c r="AW706" s="324"/>
      <c r="BY706" s="333" t="n">
        <f aca="false">BY705+1</f>
        <v>90</v>
      </c>
      <c r="BZ706" s="329" t="str">
        <f aca="false">B286</f>
        <v>Torch</v>
      </c>
      <c r="CA706" s="112" t="n">
        <f aca="false">F286</f>
        <v>5</v>
      </c>
      <c r="CB706" s="112" t="n">
        <f aca="false">G286</f>
        <v>0.5</v>
      </c>
      <c r="CC706" s="112" t="n">
        <f aca="false">H286</f>
        <v>1</v>
      </c>
      <c r="CD706" s="329" t="e">
        <f aca="false">FIND(",",BZ706)</f>
        <v>#VALUE!</v>
      </c>
      <c r="CE706" s="329" t="str">
        <f aca="false">IF(ISERROR(CD706),BZ706,MID(BZ706,CD706+2,20)&amp;" "&amp;LEFT(BZ706,CD706-1))&amp;IF(ISERROR(VALUE(CA706)),"",IF(CA706&gt;1," ("&amp;CA706&amp;")",""))</f>
        <v>Torch (5)</v>
      </c>
      <c r="CF706" s="329" t="n">
        <f aca="false">IF(CC706=" "," ",IF(ISERROR(VALUE(CA706)),CC706,CA706*CC706))</f>
        <v>5</v>
      </c>
      <c r="CG706" s="112" t="n">
        <f aca="false">CG705+IF(AND(BZ706&lt;&gt;0,CA706&lt;&gt;0),1,0)</f>
        <v>19</v>
      </c>
      <c r="CH706" s="112" t="n">
        <f aca="false">IF($BY706&lt;=CH$615,MATCH($BY706,CG$617:CG$863,0))</f>
        <v>0</v>
      </c>
    </row>
    <row r="707" s="32" customFormat="true" ht="12.75" hidden="false" customHeight="false" outlineLevel="0" collapsed="false">
      <c r="B707" s="279" t="n">
        <v>9</v>
      </c>
      <c r="C707" s="67" t="str">
        <f aca="false">IF(L27&lt;&gt;"",L27," ")</f>
        <v> </v>
      </c>
      <c r="D707" s="178" t="str">
        <f aca="false">C707</f>
        <v> </v>
      </c>
      <c r="E707" s="64" t="n">
        <f aca="false">O27</f>
        <v>0</v>
      </c>
      <c r="F707" s="182" t="str">
        <f aca="true">IF(D707=" "," ",OFFSET(Cost_1_4,E707,0))</f>
        <v> </v>
      </c>
      <c r="G707" s="64" t="n">
        <f aca="false">IF(C707&lt;&gt;" ",MATCH(D707,Talents!B$3:B$345,1),0)</f>
        <v>0</v>
      </c>
      <c r="H707" s="64" t="str">
        <f aca="true">IF(G707=0," ",OFFSET(Talents!C$2,G707,0))</f>
        <v> </v>
      </c>
      <c r="I707" s="64" t="n">
        <f aca="false">IF(E707&gt;=0,P27,0)</f>
        <v>0</v>
      </c>
      <c r="J707" s="64" t="str">
        <f aca="false">IF(H707&lt;&gt;" ",E707+VLOOKUP(H707,G$597:L$603,6,0)+I707," ")</f>
        <v> </v>
      </c>
      <c r="K707" s="64" t="str">
        <f aca="true">IF(J707&lt;&gt;" ",OFFSET(ActionDice,J707,0),"-")</f>
        <v>-</v>
      </c>
      <c r="L707" s="67" t="n">
        <f aca="false">OR(RIGHT(C707, 3)="(D)", NOT(ISERROR(MATCH(D707&amp;" (D)", C$657:C$697, 0))))</f>
        <v>0</v>
      </c>
      <c r="M707" s="64" t="str">
        <f aca="true">IF(G707&gt;0,IF(L707,"D",OFFSET(Talents!D$2,G707,0))&amp;OFFSET(Talents!E$2,G707,0)," ")</f>
        <v> </v>
      </c>
      <c r="N707" s="64" t="n">
        <f aca="false">AND(D707&lt;&gt;" ",OR(E707&lt;&gt;0,I707&lt;&gt;0))</f>
        <v>0</v>
      </c>
      <c r="O707" s="300" t="n">
        <f aca="false">O706+IF(N706,1,0)</f>
        <v>24</v>
      </c>
      <c r="P707" s="324" t="n">
        <f aca="false">IF(Build!$BY707&lt;=Build!P$615,MATCH(Build!$BY707,Build!O$617:O$714,0))</f>
        <v>0</v>
      </c>
      <c r="S707" s="56"/>
      <c r="T707" s="56"/>
      <c r="U707" s="286" t="n">
        <f aca="false">U706+IF(T393&lt;&gt;"",1,0)</f>
        <v>0</v>
      </c>
      <c r="V707" s="182" t="n">
        <f aca="false">V706+IF(T425&lt;&gt;"",1,0)</f>
        <v>0</v>
      </c>
      <c r="W707" s="182" t="n">
        <f aca="false">W706+IF(T457&lt;&gt;"",1,0)</f>
        <v>0</v>
      </c>
      <c r="X707" s="182" t="n">
        <f aca="false">X706+IF(T489&lt;&gt;"",1,0)</f>
        <v>0</v>
      </c>
      <c r="Y707" s="182" t="n">
        <f aca="false">Y706+IF($T521&lt;&gt;"",1,0)</f>
        <v>0</v>
      </c>
      <c r="Z707" s="182" t="n">
        <f aca="false">Z706+IF($T553&lt;&gt;"",1,0)</f>
        <v>0</v>
      </c>
      <c r="AA707" s="300" t="n">
        <f aca="false">IF($BY707&lt;=U$615,MATCH($BY707,U$617:U$737,0))</f>
        <v>0</v>
      </c>
      <c r="AB707" s="112" t="n">
        <f aca="false">IF($BY707&lt;=V$615,MATCH($BY707,V$617:V$737,0))</f>
        <v>0</v>
      </c>
      <c r="AC707" s="112" t="n">
        <f aca="false">IF($BY707&lt;=W$615,MATCH($BY707,W$617:W$737,0))</f>
        <v>0</v>
      </c>
      <c r="AD707" s="112" t="n">
        <f aca="false">IF($BY707&lt;=X$615,MATCH($BY707,X$617:X$737,0))</f>
        <v>0</v>
      </c>
      <c r="AE707" s="112" t="n">
        <f aca="false">IF($BY707&lt;=Y$615,MATCH($BY707,Y$617:Y$737,0))</f>
        <v>0</v>
      </c>
      <c r="AF707" s="324" t="n">
        <f aca="false">IF($BY707&lt;=Z$615,MATCH($BY707,Z$617:Z$737,0))</f>
        <v>0</v>
      </c>
      <c r="AG707" s="325" t="str">
        <f aca="true">IF(AND(AA707&lt;="",AP100=""),OFFSET(Spells!H$2,AA707,0),"")</f>
        <v>Effect</v>
      </c>
      <c r="AH707" s="325" t="str">
        <f aca="true">IF(AND(AB707&lt;="",AP100=""),OFFSET(Spells!R$2,AB707,0),"")</f>
        <v>Effect</v>
      </c>
      <c r="AI707" s="325" t="str">
        <f aca="true">IF(AND(AC707&lt;="",AP100=""),OFFSET(Spells!AB$2,AC707,0),"")</f>
        <v>Effect</v>
      </c>
      <c r="AJ707" s="326" t="str">
        <f aca="true">IF(AND(AD707&lt;="",AP100=""),OFFSET(Spells!AL$2,AD707,0),"")</f>
        <v>Effect</v>
      </c>
      <c r="AK707" s="326" t="str">
        <f aca="true">IF(AND(AE707&lt;="",AP100=""),OFFSET(Spells!AV$2,AE707,0),"")</f>
        <v>Effect</v>
      </c>
      <c r="AL707" s="325" t="str">
        <f aca="true">IF(AND(AF707&lt;="",AP98=""),OFFSET(Spells!$H$2,AF707,0),"")</f>
        <v>Effect</v>
      </c>
      <c r="AM707" s="56"/>
      <c r="AN707" s="42"/>
      <c r="AO707" s="42"/>
      <c r="AP707" s="42"/>
      <c r="AQ707" s="340"/>
      <c r="AR707" s="327" t="str">
        <f aca="false">T111&amp;IF(Z111&lt;&gt;"","("&amp;Z111&amp;")","")</f>
        <v>Momentum Attack</v>
      </c>
      <c r="AS707" s="112" t="n">
        <f aca="false">X111</f>
        <v>0</v>
      </c>
      <c r="AT707" s="112" t="n">
        <f aca="true">OFFSET(CostSkill,AS707,0)-OFFSET(CostSkill,W111,0)</f>
        <v>0</v>
      </c>
      <c r="AU707" s="112" t="str">
        <f aca="false">Y111</f>
        <v>D</v>
      </c>
      <c r="AV707" s="112" t="n">
        <f aca="false">AV706+IF(AND(AR707&lt;&gt;" ",AS707&gt;0),1,0)</f>
        <v>15</v>
      </c>
      <c r="AW707" s="324"/>
      <c r="BY707" s="333" t="n">
        <f aca="false">BY706+1</f>
        <v>91</v>
      </c>
      <c r="BZ707" s="329" t="str">
        <f aca="false">B287</f>
        <v>Whetstone</v>
      </c>
      <c r="CA707" s="112" t="n">
        <f aca="false">F287</f>
        <v>0</v>
      </c>
      <c r="CB707" s="112" t="n">
        <f aca="false">G287</f>
        <v>0.2</v>
      </c>
      <c r="CC707" s="112" t="n">
        <f aca="false">H287</f>
        <v>1</v>
      </c>
      <c r="CD707" s="329" t="e">
        <f aca="false">FIND(",",BZ707)</f>
        <v>#VALUE!</v>
      </c>
      <c r="CE707" s="329" t="str">
        <f aca="false">IF(ISERROR(CD707),BZ707,MID(BZ707,CD707+2,20)&amp;" "&amp;LEFT(BZ707,CD707-1))&amp;IF(ISERROR(VALUE(CA707)),"",IF(CA707&gt;1," ("&amp;CA707&amp;")",""))</f>
        <v>Whetstone</v>
      </c>
      <c r="CF707" s="329" t="n">
        <f aca="false">IF(CC707=" "," ",IF(ISERROR(VALUE(CA707)),CC707,CA707*CC707))</f>
        <v>0</v>
      </c>
      <c r="CG707" s="112" t="n">
        <f aca="false">CG706+IF(AND(BZ707&lt;&gt;0,CA707&lt;&gt;0),1,0)</f>
        <v>19</v>
      </c>
      <c r="CH707" s="112" t="n">
        <f aca="false">IF($BY707&lt;=CH$615,MATCH($BY707,CG$617:CG$863,0))</f>
        <v>0</v>
      </c>
    </row>
    <row r="708" s="32" customFormat="true" ht="12.75" hidden="false" customHeight="false" outlineLevel="0" collapsed="false">
      <c r="B708" s="279" t="n">
        <v>10</v>
      </c>
      <c r="C708" s="67" t="str">
        <f aca="false">IF(L28&lt;&gt;"",L28," ")</f>
        <v> </v>
      </c>
      <c r="D708" s="178" t="str">
        <f aca="false">C708</f>
        <v> </v>
      </c>
      <c r="E708" s="64" t="n">
        <f aca="false">O28</f>
        <v>0</v>
      </c>
      <c r="F708" s="182" t="str">
        <f aca="true">IF(D708=" "," ",OFFSET(Cost_1_4,E708,0))</f>
        <v> </v>
      </c>
      <c r="G708" s="64" t="n">
        <f aca="false">IF(C708&lt;&gt;" ",MATCH(D708,Talents!B$3:B$345,1),0)</f>
        <v>0</v>
      </c>
      <c r="H708" s="64" t="str">
        <f aca="true">IF(G708=0," ",OFFSET(Talents!C$2,G708,0))</f>
        <v> </v>
      </c>
      <c r="I708" s="64" t="n">
        <f aca="false">IF(E708&gt;=0,P28,0)</f>
        <v>0</v>
      </c>
      <c r="J708" s="64" t="str">
        <f aca="false">IF(H708&lt;&gt;" ",E708+VLOOKUP(H708,G$597:L$603,6,0)+I708," ")</f>
        <v> </v>
      </c>
      <c r="K708" s="64" t="str">
        <f aca="true">IF(J708&lt;&gt;" ",OFFSET(ActionDice,J708,0),"-")</f>
        <v>-</v>
      </c>
      <c r="L708" s="67" t="n">
        <f aca="false">OR(RIGHT(C708, 3)="(D)", NOT(ISERROR(MATCH(D708&amp;" (D)", C$657:C$697, 0))))</f>
        <v>0</v>
      </c>
      <c r="M708" s="64" t="str">
        <f aca="true">IF(G708&gt;0,IF(L708,"D",OFFSET(Talents!D$2,G708,0))&amp;OFFSET(Talents!E$2,G708,0)," ")</f>
        <v> </v>
      </c>
      <c r="N708" s="64" t="n">
        <f aca="false">AND(D708&lt;&gt;" ",OR(E708&lt;&gt;0,I708&lt;&gt;0))</f>
        <v>0</v>
      </c>
      <c r="O708" s="300" t="n">
        <f aca="false">O707+IF(N707,1,0)</f>
        <v>24</v>
      </c>
      <c r="P708" s="324" t="n">
        <f aca="false">IF(Build!$BY708&lt;=Build!P$615,MATCH(Build!$BY708,Build!O$617:O$714,0))</f>
        <v>0</v>
      </c>
      <c r="S708" s="56"/>
      <c r="T708" s="56"/>
      <c r="U708" s="300" t="n">
        <f aca="false">U707+IF(T394&lt;&gt;"",1,0)</f>
        <v>0</v>
      </c>
      <c r="V708" s="112" t="n">
        <f aca="false">V707+IF(T426&lt;&gt;"",1,0)</f>
        <v>0</v>
      </c>
      <c r="W708" s="112" t="n">
        <f aca="false">W707+IF(T458&lt;&gt;"",1,0)</f>
        <v>0</v>
      </c>
      <c r="X708" s="112" t="n">
        <f aca="false">X707+IF(T490&lt;&gt;"",1,0)</f>
        <v>0</v>
      </c>
      <c r="Y708" s="112" t="n">
        <f aca="false">Y707+IF(T522&lt;&gt;"",1,0)</f>
        <v>0</v>
      </c>
      <c r="Z708" s="324" t="n">
        <f aca="false">Z707+IF($T554&lt;&gt;"",1,0)</f>
        <v>0</v>
      </c>
      <c r="AA708" s="300" t="n">
        <f aca="false">IF($BY708&lt;=U$615,MATCH($BY708,U$617:U$737,0))</f>
        <v>0</v>
      </c>
      <c r="AB708" s="112" t="n">
        <f aca="false">IF($BY708&lt;=V$615,MATCH($BY708,V$617:V$737,0))</f>
        <v>0</v>
      </c>
      <c r="AC708" s="112" t="n">
        <f aca="false">IF($BY708&lt;=W$615,MATCH($BY708,W$617:W$737,0))</f>
        <v>0</v>
      </c>
      <c r="AD708" s="112" t="n">
        <f aca="false">IF($BY708&lt;=X$615,MATCH($BY708,X$617:X$737,0))</f>
        <v>0</v>
      </c>
      <c r="AE708" s="112" t="n">
        <f aca="false">IF($BY708&lt;=Y$615,MATCH($BY708,Y$617:Y$737,0))</f>
        <v>0</v>
      </c>
      <c r="AF708" s="324" t="n">
        <f aca="false">IF($BY708&lt;=Z$615,MATCH($BY708,Z$617:Z$737,0))</f>
        <v>0</v>
      </c>
      <c r="AG708" s="325" t="str">
        <f aca="true">IF(AND(AA708&lt;="",AP101=""),OFFSET(Spells!H$2,AA708,0),"")</f>
        <v>Effect</v>
      </c>
      <c r="AH708" s="325" t="str">
        <f aca="true">IF(AND(AB708&lt;="",AP101=""),OFFSET(Spells!R$2,AB708,0),"")</f>
        <v>Effect</v>
      </c>
      <c r="AI708" s="325" t="str">
        <f aca="true">IF(AND(AC708&lt;="",AP101=""),OFFSET(Spells!AB$2,AC708,0),"")</f>
        <v>Effect</v>
      </c>
      <c r="AJ708" s="326" t="str">
        <f aca="true">IF(AND(AD708&lt;="",AP101=""),OFFSET(Spells!AL$2,AD708,0),"")</f>
        <v>Effect</v>
      </c>
      <c r="AK708" s="326" t="str">
        <f aca="true">IF(AND(AE708&lt;="",AP101=""),OFFSET(Spells!AV$2,AE708,0),"")</f>
        <v>Effect</v>
      </c>
      <c r="AL708" s="325" t="str">
        <f aca="true">IF(AND(AF708&lt;="",AP99=""),OFFSET(Spells!$H$2,AF708,0),"")</f>
        <v>Effect</v>
      </c>
      <c r="AM708" s="56"/>
      <c r="AN708" s="42"/>
      <c r="AO708" s="42"/>
      <c r="AP708" s="42"/>
      <c r="AQ708" s="340"/>
      <c r="AR708" s="327" t="str">
        <f aca="false">T112&amp;IF(Z112&lt;&gt;"","("&amp;Z112&amp;")","")</f>
        <v>Mount Attack</v>
      </c>
      <c r="AS708" s="112" t="n">
        <f aca="false">X112</f>
        <v>0</v>
      </c>
      <c r="AT708" s="112" t="n">
        <f aca="true">OFFSET(CostSkill,AS708,0)-OFFSET(CostSkill,W112,0)</f>
        <v>0</v>
      </c>
      <c r="AU708" s="112" t="n">
        <f aca="false">Y112</f>
        <v>0</v>
      </c>
      <c r="AV708" s="112" t="n">
        <f aca="false">AV707+IF(AND(AR708&lt;&gt;" ",AS708&gt;0),1,0)</f>
        <v>15</v>
      </c>
      <c r="AW708" s="324"/>
      <c r="BY708" s="333" t="n">
        <f aca="false">BY707+1</f>
        <v>92</v>
      </c>
      <c r="BZ708" s="329" t="str">
        <f aca="false">B288</f>
        <v>Writing-ink Vial (10 pages)</v>
      </c>
      <c r="CA708" s="112" t="n">
        <f aca="false">F288</f>
        <v>2</v>
      </c>
      <c r="CB708" s="112" t="n">
        <f aca="false">G288</f>
        <v>10</v>
      </c>
      <c r="CC708" s="112" t="n">
        <f aca="false">H288</f>
        <v>0.5</v>
      </c>
      <c r="CD708" s="329" t="e">
        <f aca="false">FIND(",",BZ708)</f>
        <v>#VALUE!</v>
      </c>
      <c r="CE708" s="329" t="str">
        <f aca="false">IF(ISERROR(CD708),BZ708,MID(BZ708,CD708+2,20)&amp;" "&amp;LEFT(BZ708,CD708-1))&amp;IF(ISERROR(VALUE(CA708)),"",IF(CA708&gt;1," ("&amp;CA708&amp;")",""))</f>
        <v>Writing-ink Vial (10 pages) (2)</v>
      </c>
      <c r="CF708" s="329" t="n">
        <f aca="false">IF(CC708=" "," ",IF(ISERROR(VALUE(CA708)),CC708,CA708*CC708))</f>
        <v>1</v>
      </c>
      <c r="CG708" s="112" t="n">
        <f aca="false">CG707+IF(AND(BZ708&lt;&gt;0,CA708&lt;&gt;0),1,0)</f>
        <v>20</v>
      </c>
      <c r="CH708" s="112" t="n">
        <f aca="false">IF($BY708&lt;=CH$615,MATCH($BY708,CG$617:CG$863,0))</f>
        <v>0</v>
      </c>
    </row>
    <row r="709" s="32" customFormat="true" ht="12.75" hidden="false" customHeight="false" outlineLevel="0" collapsed="false">
      <c r="B709" s="279" t="n">
        <v>11</v>
      </c>
      <c r="C709" s="67" t="str">
        <f aca="false">IF(L29&lt;&gt;"",L29," ")</f>
        <v> </v>
      </c>
      <c r="D709" s="178" t="str">
        <f aca="false">C709</f>
        <v> </v>
      </c>
      <c r="E709" s="64" t="n">
        <f aca="false">O29</f>
        <v>0</v>
      </c>
      <c r="F709" s="182" t="str">
        <f aca="true">IF(D709=" "," ",OFFSET(Cost_1_4,E709,0))</f>
        <v> </v>
      </c>
      <c r="G709" s="64" t="n">
        <f aca="false">IF(C709&lt;&gt;" ",MATCH(D709,Talents!B$3:B$345,1),0)</f>
        <v>0</v>
      </c>
      <c r="H709" s="64" t="str">
        <f aca="true">IF(G709=0," ",OFFSET(Talents!C$2,G709,0))</f>
        <v> </v>
      </c>
      <c r="I709" s="64" t="n">
        <f aca="false">IF(E709&gt;=0,P29,0)</f>
        <v>0</v>
      </c>
      <c r="J709" s="64" t="str">
        <f aca="false">IF(H709&lt;&gt;" ",E709+VLOOKUP(H709,G$597:L$603,6,0)+I709," ")</f>
        <v> </v>
      </c>
      <c r="K709" s="64" t="str">
        <f aca="true">IF(J709&lt;&gt;" ",OFFSET(ActionDice,J709,0),"-")</f>
        <v>-</v>
      </c>
      <c r="L709" s="67" t="n">
        <f aca="false">OR(RIGHT(C709, 3)="(D)", NOT(ISERROR(MATCH(D709&amp;" (D)", C$657:C$697, 0))))</f>
        <v>0</v>
      </c>
      <c r="M709" s="64" t="str">
        <f aca="true">IF(G709&gt;0,IF(L709,"D",OFFSET(Talents!D$2,G709,0))&amp;OFFSET(Talents!E$2,G709,0)," ")</f>
        <v> </v>
      </c>
      <c r="N709" s="64" t="n">
        <f aca="false">AND(D709&lt;&gt;" ",OR(E709&lt;&gt;0,I709&lt;&gt;0))</f>
        <v>0</v>
      </c>
      <c r="O709" s="300" t="n">
        <f aca="false">O708+IF(N708,1,0)</f>
        <v>24</v>
      </c>
      <c r="P709" s="324" t="n">
        <f aca="false">IF(Build!$BY709&lt;=Build!P$615,MATCH(Build!$BY709,Build!O$617:O$714,0))</f>
        <v>0</v>
      </c>
      <c r="S709" s="56"/>
      <c r="T709" s="56"/>
      <c r="U709" s="300" t="n">
        <f aca="false">U708+IF(T395&lt;&gt;"",1,0)</f>
        <v>0</v>
      </c>
      <c r="V709" s="112" t="n">
        <f aca="false">V708+IF(T427&lt;&gt;"",1,0)</f>
        <v>0</v>
      </c>
      <c r="W709" s="112" t="n">
        <f aca="false">W708+IF(T459&lt;&gt;"",1,0)</f>
        <v>0</v>
      </c>
      <c r="X709" s="112" t="n">
        <f aca="false">X708+IF(T491&lt;&gt;"",1,0)</f>
        <v>0</v>
      </c>
      <c r="Y709" s="112" t="n">
        <f aca="false">Y708+IF(T523&lt;&gt;"",1,0)</f>
        <v>0</v>
      </c>
      <c r="Z709" s="324" t="n">
        <f aca="false">Z708+IF($T555&lt;&gt;"",1,0)</f>
        <v>0</v>
      </c>
      <c r="AA709" s="300" t="n">
        <f aca="false">IF($BY709&lt;=U$615,MATCH($BY709,U$617:U$737,0))</f>
        <v>0</v>
      </c>
      <c r="AB709" s="112" t="n">
        <f aca="false">IF($BY709&lt;=V$615,MATCH($BY709,V$617:V$737,0))</f>
        <v>0</v>
      </c>
      <c r="AC709" s="112" t="n">
        <f aca="false">IF($BY709&lt;=W$615,MATCH($BY709,W$617:W$737,0))</f>
        <v>0</v>
      </c>
      <c r="AD709" s="112" t="n">
        <f aca="false">IF($BY709&lt;=X$615,MATCH($BY709,X$617:X$737,0))</f>
        <v>0</v>
      </c>
      <c r="AE709" s="112" t="n">
        <f aca="false">IF($BY709&lt;=Y$615,MATCH($BY709,Y$617:Y$737,0))</f>
        <v>0</v>
      </c>
      <c r="AF709" s="324" t="n">
        <f aca="false">IF($BY709&lt;=Z$615,MATCH($BY709,Z$617:Z$737,0))</f>
        <v>0</v>
      </c>
      <c r="AG709" s="325" t="str">
        <f aca="true">IF(AND(AA709&lt;="",AP102=""),OFFSET(Spells!H$2,AA709,0),"")</f>
        <v>Effect</v>
      </c>
      <c r="AH709" s="325" t="str">
        <f aca="true">IF(AND(AB709&lt;="",AP102=""),OFFSET(Spells!R$2,AB709,0),"")</f>
        <v>Effect</v>
      </c>
      <c r="AI709" s="325" t="str">
        <f aca="true">IF(AND(AC709&lt;="",AP102=""),OFFSET(Spells!AB$2,AC709,0),"")</f>
        <v>Effect</v>
      </c>
      <c r="AJ709" s="326" t="str">
        <f aca="true">IF(AND(AD709&lt;="",AP102=""),OFFSET(Spells!AL$2,AD709,0),"")</f>
        <v>Effect</v>
      </c>
      <c r="AK709" s="326" t="str">
        <f aca="true">IF(AND(AE709&lt;="",AP102=""),OFFSET(Spells!AV$2,AE709,0),"")</f>
        <v>Effect</v>
      </c>
      <c r="AL709" s="325" t="str">
        <f aca="true">IF(AND(AF709&lt;="",AP100=""),OFFSET(Spells!$H$2,AF709,0),"")</f>
        <v>Effect</v>
      </c>
      <c r="AM709" s="56"/>
      <c r="AN709" s="42"/>
      <c r="AO709" s="42"/>
      <c r="AP709" s="42"/>
      <c r="AQ709" s="340"/>
      <c r="AR709" s="327" t="str">
        <f aca="false">T113&amp;IF(Z113&lt;&gt;"","("&amp;Z113&amp;")","")</f>
        <v>Navigation</v>
      </c>
      <c r="AS709" s="112" t="n">
        <f aca="false">X113</f>
        <v>0</v>
      </c>
      <c r="AT709" s="112" t="n">
        <f aca="true">OFFSET(CostSkill,AS709,0)-OFFSET(CostSkill,W113,0)</f>
        <v>0</v>
      </c>
      <c r="AU709" s="112" t="str">
        <f aca="false">Y113</f>
        <v>P</v>
      </c>
      <c r="AV709" s="112" t="n">
        <f aca="false">AV708+IF(AND(AR709&lt;&gt;" ",AS709&gt;0),1,0)</f>
        <v>15</v>
      </c>
      <c r="AW709" s="324"/>
      <c r="BY709" s="333" t="n">
        <f aca="false">BY708+1</f>
        <v>93</v>
      </c>
      <c r="BZ709" s="329" t="n">
        <f aca="false">B289</f>
        <v>0</v>
      </c>
      <c r="CA709" s="112" t="n">
        <f aca="false">F289</f>
        <v>0</v>
      </c>
      <c r="CB709" s="112" t="n">
        <f aca="false">G289</f>
        <v>0</v>
      </c>
      <c r="CC709" s="112" t="n">
        <f aca="false">H289</f>
        <v>0</v>
      </c>
      <c r="CD709" s="329" t="e">
        <f aca="false">FIND(",",BZ709)</f>
        <v>#VALUE!</v>
      </c>
      <c r="CE709" s="329" t="str">
        <f aca="false">IF(ISERROR(CD709),BZ709,MID(BZ709,CD709+2,20)&amp;" "&amp;LEFT(BZ709,CD709-1))&amp;IF(ISERROR(VALUE(CA709)),"",IF(CA709&gt;1," ("&amp;CA709&amp;")",""))</f>
        <v>0</v>
      </c>
      <c r="CF709" s="329" t="n">
        <f aca="false">IF(CC709=" "," ",IF(ISERROR(VALUE(CA709)),CC709,CA709*CC709))</f>
        <v>0</v>
      </c>
      <c r="CG709" s="112" t="n">
        <f aca="false">CG708+IF(AND(BZ709&lt;&gt;0,CA709&lt;&gt;0),1,0)</f>
        <v>20</v>
      </c>
      <c r="CH709" s="112" t="n">
        <f aca="false">IF($BY709&lt;=CH$615,MATCH($BY709,CG$617:CG$863,0))</f>
        <v>0</v>
      </c>
    </row>
    <row r="710" s="32" customFormat="true" ht="12.75" hidden="false" customHeight="false" outlineLevel="0" collapsed="false">
      <c r="B710" s="279" t="n">
        <v>12</v>
      </c>
      <c r="C710" s="67" t="str">
        <f aca="false">IF(L30&lt;&gt;"",L30," ")</f>
        <v> </v>
      </c>
      <c r="D710" s="178" t="str">
        <f aca="false">C710</f>
        <v> </v>
      </c>
      <c r="E710" s="64" t="n">
        <f aca="false">O30</f>
        <v>0</v>
      </c>
      <c r="F710" s="182" t="str">
        <f aca="true">IF(D710=" "," ",OFFSET(Cost_1_4,E710,0))</f>
        <v> </v>
      </c>
      <c r="G710" s="64" t="n">
        <f aca="false">IF(C710&lt;&gt;" ",MATCH(D710,Talents!B$3:B$345,1),0)</f>
        <v>0</v>
      </c>
      <c r="H710" s="64" t="str">
        <f aca="true">IF(G710=0," ",OFFSET(Talents!C$2,G710,0))</f>
        <v> </v>
      </c>
      <c r="I710" s="64" t="n">
        <f aca="false">IF(E710&gt;=0,P30,0)</f>
        <v>0</v>
      </c>
      <c r="J710" s="64" t="str">
        <f aca="false">IF(H710&lt;&gt;" ",E710+VLOOKUP(H710,G$597:L$603,6,0)+I710," ")</f>
        <v> </v>
      </c>
      <c r="K710" s="64" t="str">
        <f aca="true">IF(J710&lt;&gt;" ",OFFSET(ActionDice,J710,0),"-")</f>
        <v>-</v>
      </c>
      <c r="L710" s="67" t="n">
        <f aca="false">OR(RIGHT(C710, 3)="(D)", NOT(ISERROR(MATCH(D710&amp;" (D)", C$657:C$697, 0))))</f>
        <v>0</v>
      </c>
      <c r="M710" s="64" t="str">
        <f aca="true">IF(G710&gt;0,IF(L710,"D",OFFSET(Talents!D$2,G710,0))&amp;OFFSET(Talents!E$2,G710,0)," ")</f>
        <v> </v>
      </c>
      <c r="N710" s="64" t="n">
        <f aca="false">AND(D710&lt;&gt;" ",OR(E710&lt;&gt;0,I710&lt;&gt;0))</f>
        <v>0</v>
      </c>
      <c r="O710" s="300" t="n">
        <f aca="false">O709+IF(N709,1,0)</f>
        <v>24</v>
      </c>
      <c r="P710" s="324" t="n">
        <f aca="false">IF(Build!$BY710&lt;=Build!P$615,MATCH(Build!$BY710,Build!O$617:O$714,0))</f>
        <v>0</v>
      </c>
      <c r="S710" s="56"/>
      <c r="T710" s="56"/>
      <c r="U710" s="300" t="n">
        <f aca="false">U709+IF(T396&lt;&gt;"",1,0)</f>
        <v>0</v>
      </c>
      <c r="V710" s="112" t="n">
        <f aca="false">V709+IF(T428&lt;&gt;"",1,0)</f>
        <v>0</v>
      </c>
      <c r="W710" s="112" t="n">
        <f aca="false">W709+IF(T460&lt;&gt;"",1,0)</f>
        <v>0</v>
      </c>
      <c r="X710" s="112" t="n">
        <f aca="false">X709+IF(T492&lt;&gt;"",1,0)</f>
        <v>0</v>
      </c>
      <c r="Y710" s="112" t="n">
        <f aca="false">Y709+IF(T524&lt;&gt;"",1,0)</f>
        <v>0</v>
      </c>
      <c r="Z710" s="324" t="n">
        <f aca="false">Z709+IF($T556&lt;&gt;"",1,0)</f>
        <v>0</v>
      </c>
      <c r="AA710" s="300" t="n">
        <f aca="false">IF($BY710&lt;=U$615,MATCH($BY710,U$617:U$737,0))</f>
        <v>0</v>
      </c>
      <c r="AB710" s="112" t="n">
        <f aca="false">IF($BY710&lt;=V$615,MATCH($BY710,V$617:V$737,0))</f>
        <v>0</v>
      </c>
      <c r="AC710" s="112" t="n">
        <f aca="false">IF($BY710&lt;=W$615,MATCH($BY710,W$617:W$737,0))</f>
        <v>0</v>
      </c>
      <c r="AD710" s="112" t="n">
        <f aca="false">IF($BY710&lt;=X$615,MATCH($BY710,X$617:X$737,0))</f>
        <v>0</v>
      </c>
      <c r="AE710" s="112" t="n">
        <f aca="false">IF($BY710&lt;=Y$615,MATCH($BY710,Y$617:Y$737,0))</f>
        <v>0</v>
      </c>
      <c r="AF710" s="324" t="n">
        <f aca="false">IF($BY710&lt;=Z$615,MATCH($BY710,Z$617:Z$737,0))</f>
        <v>0</v>
      </c>
      <c r="AG710" s="325" t="str">
        <f aca="true">IF(AND(AA710&lt;="",AP103=""),OFFSET(Spells!H$2,AA710,0),"")</f>
        <v>Effect</v>
      </c>
      <c r="AH710" s="325" t="str">
        <f aca="true">IF(AND(AB710&lt;="",AP103=""),OFFSET(Spells!R$2,AB710,0),"")</f>
        <v>Effect</v>
      </c>
      <c r="AI710" s="325" t="str">
        <f aca="true">IF(AND(AC710&lt;="",AP103=""),OFFSET(Spells!AB$2,AC710,0),"")</f>
        <v>Effect</v>
      </c>
      <c r="AJ710" s="326" t="str">
        <f aca="true">IF(AND(AD710&lt;="",AP103=""),OFFSET(Spells!AL$2,AD710,0),"")</f>
        <v>Effect</v>
      </c>
      <c r="AK710" s="326" t="str">
        <f aca="true">IF(AND(AE710&lt;="",AP103=""),OFFSET(Spells!AV$2,AE710,0),"")</f>
        <v>Effect</v>
      </c>
      <c r="AL710" s="325" t="str">
        <f aca="true">IF(AND(AF710&lt;="",AP101=""),OFFSET(Spells!$H$2,AF710,0),"")</f>
        <v>Effect</v>
      </c>
      <c r="AM710" s="56"/>
      <c r="AN710" s="42"/>
      <c r="AO710" s="42"/>
      <c r="AP710" s="42"/>
      <c r="AQ710" s="340"/>
      <c r="AR710" s="327" t="str">
        <f aca="false">T114&amp;IF(Z114&lt;&gt;"","("&amp;Z114&amp;")","")</f>
        <v>Parry</v>
      </c>
      <c r="AS710" s="112" t="n">
        <f aca="false">X114</f>
        <v>0</v>
      </c>
      <c r="AT710" s="112" t="n">
        <f aca="true">OFFSET(CostSkill,AS710,0)-OFFSET(CostSkill,W114,0)</f>
        <v>0</v>
      </c>
      <c r="AU710" s="112" t="str">
        <f aca="false">Y114</f>
        <v>D</v>
      </c>
      <c r="AV710" s="112" t="n">
        <f aca="false">AV709+IF(AND(AR710&lt;&gt;" ",AS710&gt;0),1,0)</f>
        <v>15</v>
      </c>
      <c r="AW710" s="324"/>
      <c r="BY710" s="333" t="n">
        <f aca="false">BY709+1</f>
        <v>94</v>
      </c>
      <c r="BZ710" s="329" t="n">
        <f aca="false">B290</f>
        <v>0</v>
      </c>
      <c r="CA710" s="112" t="n">
        <f aca="false">F290</f>
        <v>0</v>
      </c>
      <c r="CB710" s="112" t="n">
        <f aca="false">G290</f>
        <v>0</v>
      </c>
      <c r="CC710" s="112" t="n">
        <f aca="false">H290</f>
        <v>0</v>
      </c>
      <c r="CD710" s="329" t="e">
        <f aca="false">FIND(",",BZ710)</f>
        <v>#VALUE!</v>
      </c>
      <c r="CE710" s="329" t="str">
        <f aca="false">IF(ISERROR(CD710),BZ710,MID(BZ710,CD710+2,20)&amp;" "&amp;LEFT(BZ710,CD710-1))&amp;IF(ISERROR(VALUE(CA710)),"",IF(CA710&gt;1," ("&amp;CA710&amp;")",""))</f>
        <v>0</v>
      </c>
      <c r="CF710" s="329" t="n">
        <f aca="false">IF(CC710=" "," ",IF(ISERROR(VALUE(CA710)),CC710,CA710*CC710))</f>
        <v>0</v>
      </c>
      <c r="CG710" s="112" t="n">
        <f aca="false">CG709+IF(AND(BZ710&lt;&gt;0,CA710&lt;&gt;0),1,0)</f>
        <v>20</v>
      </c>
      <c r="CH710" s="112" t="n">
        <f aca="false">IF($BY710&lt;=CH$615,MATCH($BY710,CG$617:CG$863,0))</f>
        <v>0</v>
      </c>
    </row>
    <row r="711" s="32" customFormat="true" ht="12.75" hidden="false" customHeight="false" outlineLevel="0" collapsed="false">
      <c r="B711" s="279" t="n">
        <v>13</v>
      </c>
      <c r="C711" s="67" t="str">
        <f aca="false">IF(L31&lt;&gt;"",L31," ")</f>
        <v> </v>
      </c>
      <c r="D711" s="178" t="str">
        <f aca="false">C711</f>
        <v> </v>
      </c>
      <c r="E711" s="64" t="n">
        <f aca="false">O31</f>
        <v>0</v>
      </c>
      <c r="F711" s="182" t="str">
        <f aca="true">IF(D711=" "," ",OFFSET(Cost_1_4,E711,0))</f>
        <v> </v>
      </c>
      <c r="G711" s="64" t="n">
        <f aca="false">IF(C711&lt;&gt;" ",MATCH(D711,Talents!B$3:B$345,1),0)</f>
        <v>0</v>
      </c>
      <c r="H711" s="64" t="str">
        <f aca="true">IF(G711=0," ",OFFSET(Talents!C$2,G711,0))</f>
        <v> </v>
      </c>
      <c r="I711" s="64" t="n">
        <f aca="false">IF(E711&gt;=0,P31,0)</f>
        <v>0</v>
      </c>
      <c r="J711" s="64" t="str">
        <f aca="false">IF(H711&lt;&gt;" ",E711+VLOOKUP(H711,G$597:L$603,6,0)+I711," ")</f>
        <v> </v>
      </c>
      <c r="K711" s="64" t="str">
        <f aca="true">IF(J711&lt;&gt;" ",OFFSET(ActionDice,J711,0),"-")</f>
        <v>-</v>
      </c>
      <c r="L711" s="67" t="n">
        <f aca="false">OR(RIGHT(C711, 3)="(D)", NOT(ISERROR(MATCH(D711&amp;" (D)", C$657:C$697, 0))))</f>
        <v>0</v>
      </c>
      <c r="M711" s="64" t="str">
        <f aca="true">IF(G711&gt;0,IF(L711,"D",OFFSET(Talents!D$2,G711,0))&amp;OFFSET(Talents!E$2,G711,0)," ")</f>
        <v> </v>
      </c>
      <c r="N711" s="64" t="n">
        <f aca="false">AND(D711&lt;&gt;" ",OR(E711&lt;&gt;0,I711&lt;&gt;0))</f>
        <v>0</v>
      </c>
      <c r="O711" s="300" t="n">
        <f aca="false">O710+IF(N710,1,0)</f>
        <v>24</v>
      </c>
      <c r="P711" s="324" t="n">
        <f aca="false">IF(Build!$BY711&lt;=Build!P$615,MATCH(Build!$BY711,Build!O$617:O$714,0))</f>
        <v>0</v>
      </c>
      <c r="S711" s="56"/>
      <c r="T711" s="56"/>
      <c r="U711" s="300" t="n">
        <f aca="false">U710+IF(T397&lt;&gt;"",1,0)</f>
        <v>0</v>
      </c>
      <c r="V711" s="112" t="n">
        <f aca="false">V710+IF(T429&lt;&gt;"",1,0)</f>
        <v>0</v>
      </c>
      <c r="W711" s="112" t="n">
        <f aca="false">W710+IF(T461&lt;&gt;"",1,0)</f>
        <v>0</v>
      </c>
      <c r="X711" s="112" t="n">
        <f aca="false">X710+IF(T493&lt;&gt;"",1,0)</f>
        <v>0</v>
      </c>
      <c r="Y711" s="112" t="n">
        <f aca="false">Y710+IF(T525&lt;&gt;"",1,0)</f>
        <v>0</v>
      </c>
      <c r="Z711" s="324" t="n">
        <f aca="false">Z710+IF($T557&lt;&gt;"",1,0)</f>
        <v>0</v>
      </c>
      <c r="AA711" s="300" t="n">
        <f aca="false">IF($BY711&lt;=U$615,MATCH($BY711,U$617:U$737,0))</f>
        <v>0</v>
      </c>
      <c r="AB711" s="112" t="n">
        <f aca="false">IF($BY711&lt;=V$615,MATCH($BY711,V$617:V$737,0))</f>
        <v>0</v>
      </c>
      <c r="AC711" s="112" t="n">
        <f aca="false">IF($BY711&lt;=W$615,MATCH($BY711,W$617:W$737,0))</f>
        <v>0</v>
      </c>
      <c r="AD711" s="112" t="n">
        <f aca="false">IF($BY711&lt;=X$615,MATCH($BY711,X$617:X$737,0))</f>
        <v>0</v>
      </c>
      <c r="AE711" s="112" t="n">
        <f aca="false">IF($BY711&lt;=Y$615,MATCH($BY711,Y$617:Y$737,0))</f>
        <v>0</v>
      </c>
      <c r="AF711" s="324" t="n">
        <f aca="false">IF($BY711&lt;=Z$615,MATCH($BY711,Z$617:Z$737,0))</f>
        <v>0</v>
      </c>
      <c r="AG711" s="325" t="str">
        <f aca="true">IF(AND(AA711&lt;="",AP104=""),OFFSET(Spells!H$2,AA711,0),"")</f>
        <v>Effect</v>
      </c>
      <c r="AH711" s="325" t="str">
        <f aca="true">IF(AND(AB711&lt;="",AP104=""),OFFSET(Spells!R$2,AB711,0),"")</f>
        <v>Effect</v>
      </c>
      <c r="AI711" s="325" t="str">
        <f aca="true">IF(AND(AC711&lt;="",AP104=""),OFFSET(Spells!AB$2,AC711,0),"")</f>
        <v>Effect</v>
      </c>
      <c r="AJ711" s="326" t="str">
        <f aca="true">IF(AND(AD711&lt;="",AP104=""),OFFSET(Spells!AL$2,AD711,0),"")</f>
        <v>Effect</v>
      </c>
      <c r="AK711" s="326" t="str">
        <f aca="true">IF(AND(AE711&lt;="",AP104=""),OFFSET(Spells!AV$2,AE711,0),"")</f>
        <v>Effect</v>
      </c>
      <c r="AL711" s="325" t="str">
        <f aca="true">IF(AND(AF711&lt;="",AP102=""),OFFSET(Spells!$H$2,AF711,0),"")</f>
        <v>Effect</v>
      </c>
      <c r="AM711" s="56"/>
      <c r="AN711" s="42"/>
      <c r="AO711" s="42"/>
      <c r="AP711" s="42"/>
      <c r="AQ711" s="340"/>
      <c r="AR711" s="327" t="str">
        <f aca="false">T115&amp;IF(Z115&lt;&gt;"","("&amp;Z115&amp;")","")</f>
        <v>Performance</v>
      </c>
      <c r="AS711" s="112" t="n">
        <f aca="false">X115</f>
        <v>0</v>
      </c>
      <c r="AT711" s="112" t="n">
        <f aca="true">OFFSET(CostSkill,AS711,0)-OFFSET(CostSkill,W115,0)</f>
        <v>0</v>
      </c>
      <c r="AU711" s="112" t="str">
        <f aca="false">Y115</f>
        <v>C</v>
      </c>
      <c r="AV711" s="112" t="n">
        <f aca="false">AV710+IF(AND(AR711&lt;&gt;" ",AS711&gt;0),1,0)</f>
        <v>15</v>
      </c>
      <c r="AW711" s="324"/>
      <c r="BY711" s="333" t="n">
        <f aca="false">BY710+1</f>
        <v>95</v>
      </c>
      <c r="BZ711" s="329" t="n">
        <f aca="false">B291</f>
        <v>0</v>
      </c>
      <c r="CA711" s="112" t="n">
        <f aca="false">F291</f>
        <v>0</v>
      </c>
      <c r="CB711" s="112" t="n">
        <f aca="false">G291</f>
        <v>0</v>
      </c>
      <c r="CC711" s="112" t="n">
        <f aca="false">H291</f>
        <v>0</v>
      </c>
      <c r="CD711" s="329" t="e">
        <f aca="false">FIND(",",BZ711)</f>
        <v>#VALUE!</v>
      </c>
      <c r="CE711" s="329" t="str">
        <f aca="false">IF(ISERROR(CD711),BZ711,MID(BZ711,CD711+2,20)&amp;" "&amp;LEFT(BZ711,CD711-1))&amp;IF(ISERROR(VALUE(CA711)),"",IF(CA711&gt;1," ("&amp;CA711&amp;")",""))</f>
        <v>0</v>
      </c>
      <c r="CF711" s="329" t="n">
        <f aca="false">IF(CC711=" "," ",IF(ISERROR(VALUE(CA711)),CC711,CA711*CC711))</f>
        <v>0</v>
      </c>
      <c r="CG711" s="112" t="n">
        <f aca="false">CG710+IF(AND(BZ711&lt;&gt;0,CA711&lt;&gt;0),1,0)</f>
        <v>20</v>
      </c>
      <c r="CH711" s="112" t="n">
        <f aca="false">IF($BY711&lt;=CH$615,MATCH($BY711,CG$617:CG$863,0))</f>
        <v>0</v>
      </c>
    </row>
    <row r="712" s="32" customFormat="true" ht="12.75" hidden="false" customHeight="false" outlineLevel="0" collapsed="false">
      <c r="B712" s="279" t="n">
        <v>14</v>
      </c>
      <c r="C712" s="67" t="str">
        <f aca="false">IF(L32&lt;&gt;"",L32," ")</f>
        <v> </v>
      </c>
      <c r="D712" s="178" t="str">
        <f aca="false">C712</f>
        <v> </v>
      </c>
      <c r="E712" s="64" t="n">
        <f aca="false">O32</f>
        <v>0</v>
      </c>
      <c r="F712" s="182" t="str">
        <f aca="true">IF(D712=" "," ",OFFSET(Cost_1_4,E712,0))</f>
        <v> </v>
      </c>
      <c r="G712" s="64" t="n">
        <f aca="false">IF(C712&lt;&gt;" ",MATCH(D712,Talents!B$3:B$345,1),0)</f>
        <v>0</v>
      </c>
      <c r="H712" s="64" t="str">
        <f aca="true">IF(G712=0," ",OFFSET(Talents!C$2,G712,0))</f>
        <v> </v>
      </c>
      <c r="I712" s="64" t="n">
        <f aca="false">IF(E712&gt;=0,P32,0)</f>
        <v>0</v>
      </c>
      <c r="J712" s="64" t="str">
        <f aca="false">IF(H712&lt;&gt;" ",E712+VLOOKUP(H712,G$597:L$603,6,0)+I712," ")</f>
        <v> </v>
      </c>
      <c r="K712" s="64" t="str">
        <f aca="true">IF(J712&lt;&gt;" ",OFFSET(ActionDice,J712,0),"-")</f>
        <v>-</v>
      </c>
      <c r="L712" s="67" t="n">
        <f aca="false">OR(RIGHT(C712, 3)="(D)", NOT(ISERROR(MATCH(D712&amp;" (D)", C$657:C$697, 0))))</f>
        <v>0</v>
      </c>
      <c r="M712" s="64" t="str">
        <f aca="true">IF(G712&gt;0,IF(L712,"D",OFFSET(Talents!D$2,G712,0))&amp;OFFSET(Talents!E$2,G712,0)," ")</f>
        <v> </v>
      </c>
      <c r="N712" s="64" t="n">
        <f aca="false">AND(D712&lt;&gt;" ",OR(E712&lt;&gt;0,I712&lt;&gt;0))</f>
        <v>0</v>
      </c>
      <c r="O712" s="300" t="n">
        <f aca="false">O711+IF(N711,1,0)</f>
        <v>24</v>
      </c>
      <c r="P712" s="324" t="n">
        <f aca="false">IF(Build!$BY712&lt;=Build!P$615,MATCH(Build!$BY712,Build!O$617:O$714,0))</f>
        <v>0</v>
      </c>
      <c r="S712" s="56"/>
      <c r="T712" s="56"/>
      <c r="U712" s="300" t="n">
        <f aca="false">U711+IF(T398&lt;&gt;"",1,0)</f>
        <v>0</v>
      </c>
      <c r="V712" s="112" t="n">
        <f aca="false">V711+IF(T430&lt;&gt;"",1,0)</f>
        <v>0</v>
      </c>
      <c r="W712" s="112" t="n">
        <f aca="false">W711+IF(T462&lt;&gt;"",1,0)</f>
        <v>0</v>
      </c>
      <c r="X712" s="112" t="n">
        <f aca="false">X711+IF(T494&lt;&gt;"",1,0)</f>
        <v>0</v>
      </c>
      <c r="Y712" s="112" t="n">
        <f aca="false">Y711+IF(T526&lt;&gt;"",1,0)</f>
        <v>0</v>
      </c>
      <c r="Z712" s="324" t="n">
        <f aca="false">Z711+IF($T558&lt;&gt;"",1,0)</f>
        <v>0</v>
      </c>
      <c r="AA712" s="300" t="n">
        <f aca="false">IF($BY712&lt;=U$615,MATCH($BY712,U$617:U$737,0))</f>
        <v>0</v>
      </c>
      <c r="AB712" s="112" t="n">
        <f aca="false">IF($BY712&lt;=V$615,MATCH($BY712,V$617:V$737,0))</f>
        <v>0</v>
      </c>
      <c r="AC712" s="112" t="n">
        <f aca="false">IF($BY712&lt;=W$615,MATCH($BY712,W$617:W$737,0))</f>
        <v>0</v>
      </c>
      <c r="AD712" s="112" t="n">
        <f aca="false">IF($BY712&lt;=X$615,MATCH($BY712,X$617:X$737,0))</f>
        <v>0</v>
      </c>
      <c r="AE712" s="112" t="n">
        <f aca="false">IF($BY712&lt;=Y$615,MATCH($BY712,Y$617:Y$737,0))</f>
        <v>0</v>
      </c>
      <c r="AF712" s="324" t="n">
        <f aca="false">IF($BY712&lt;=Z$615,MATCH($BY712,Z$617:Z$737,0))</f>
        <v>0</v>
      </c>
      <c r="AG712" s="325" t="str">
        <f aca="true">IF(AND(AA712&lt;="",AP105=""),OFFSET(Spells!H$2,AA712,0),"")</f>
        <v>Effect</v>
      </c>
      <c r="AH712" s="325" t="str">
        <f aca="true">IF(AND(AB712&lt;="",AP105=""),OFFSET(Spells!R$2,AB712,0),"")</f>
        <v>Effect</v>
      </c>
      <c r="AI712" s="325" t="str">
        <f aca="true">IF(AND(AC712&lt;="",AP105=""),OFFSET(Spells!AB$2,AC712,0),"")</f>
        <v>Effect</v>
      </c>
      <c r="AJ712" s="326" t="str">
        <f aca="true">IF(AND(AD712&lt;="",AP105=""),OFFSET(Spells!AL$2,AD712,0),"")</f>
        <v>Effect</v>
      </c>
      <c r="AK712" s="326" t="str">
        <f aca="true">IF(AND(AE712&lt;="",AP105=""),OFFSET(Spells!AV$2,AE712,0),"")</f>
        <v>Effect</v>
      </c>
      <c r="AL712" s="325" t="str">
        <f aca="true">IF(AND(AF712&lt;="",AP103=""),OFFSET(Spells!$H$2,AF712,0),"")</f>
        <v>Effect</v>
      </c>
      <c r="AM712" s="56"/>
      <c r="AN712" s="42"/>
      <c r="AO712" s="42"/>
      <c r="AP712" s="42"/>
      <c r="AQ712" s="340"/>
      <c r="AR712" s="327" t="str">
        <f aca="false">T116&amp;IF(Z116&lt;&gt;"","("&amp;Z116&amp;")","")</f>
        <v>Physician</v>
      </c>
      <c r="AS712" s="112" t="n">
        <f aca="false">X116</f>
        <v>0</v>
      </c>
      <c r="AT712" s="112" t="n">
        <f aca="true">OFFSET(CostSkill,AS712,0)-OFFSET(CostSkill,W116,0)</f>
        <v>0</v>
      </c>
      <c r="AU712" s="112" t="str">
        <f aca="false">Y116</f>
        <v>P</v>
      </c>
      <c r="AV712" s="112" t="n">
        <f aca="false">AV711+IF(AND(AR712&lt;&gt;" ",AS712&gt;0),1,0)</f>
        <v>15</v>
      </c>
      <c r="AW712" s="324"/>
      <c r="BY712" s="333" t="n">
        <f aca="false">BY711+1</f>
        <v>96</v>
      </c>
      <c r="BZ712" s="329" t="n">
        <f aca="false">B292</f>
        <v>0</v>
      </c>
      <c r="CA712" s="112" t="n">
        <f aca="false">F292</f>
        <v>0</v>
      </c>
      <c r="CB712" s="112" t="n">
        <f aca="false">G292</f>
        <v>0</v>
      </c>
      <c r="CC712" s="112" t="n">
        <f aca="false">H292</f>
        <v>0</v>
      </c>
      <c r="CD712" s="329" t="e">
        <f aca="false">FIND(",",BZ712)</f>
        <v>#VALUE!</v>
      </c>
      <c r="CE712" s="329" t="str">
        <f aca="false">IF(ISERROR(CD712),BZ712,MID(BZ712,CD712+2,20)&amp;" "&amp;LEFT(BZ712,CD712-1))&amp;IF(ISERROR(VALUE(CA712)),"",IF(CA712&gt;1," ("&amp;CA712&amp;")",""))</f>
        <v>0</v>
      </c>
      <c r="CF712" s="329" t="n">
        <f aca="false">IF(CC712=" "," ",IF(ISERROR(VALUE(CA712)),CC712,CA712*CC712))</f>
        <v>0</v>
      </c>
      <c r="CG712" s="112" t="n">
        <f aca="false">CG711+IF(AND(BZ712&lt;&gt;0,CA712&lt;&gt;0),1,0)</f>
        <v>20</v>
      </c>
      <c r="CH712" s="112" t="n">
        <f aca="false">IF($BY712&lt;=CH$615,MATCH($BY712,CG$617:CG$863,0))</f>
        <v>0</v>
      </c>
    </row>
    <row r="713" s="32" customFormat="true" ht="12.75" hidden="false" customHeight="false" outlineLevel="0" collapsed="false">
      <c r="B713" s="279" t="n">
        <v>15</v>
      </c>
      <c r="C713" s="67" t="str">
        <f aca="false">IF(L33&lt;&gt;"",L33," ")</f>
        <v> </v>
      </c>
      <c r="D713" s="178" t="str">
        <f aca="false">C713</f>
        <v> </v>
      </c>
      <c r="E713" s="64" t="n">
        <f aca="false">O33</f>
        <v>0</v>
      </c>
      <c r="F713" s="64" t="str">
        <f aca="true">IF(D713=" "," ",OFFSET(Cost_1_4,E713,0))</f>
        <v> </v>
      </c>
      <c r="G713" s="64" t="n">
        <f aca="false">IF(C713&lt;&gt;" ",MATCH(D713,Talents!B$3:B$345,1),0)</f>
        <v>0</v>
      </c>
      <c r="H713" s="64" t="str">
        <f aca="true">IF(G713=0," ",OFFSET(Talents!C$2,G713,0))</f>
        <v> </v>
      </c>
      <c r="I713" s="64" t="n">
        <f aca="false">IF(E713&gt;=0,P33,0)</f>
        <v>0</v>
      </c>
      <c r="J713" s="64" t="str">
        <f aca="false">IF(H713&lt;&gt;" ",E713+VLOOKUP(H713,G$597:L$603,6,0)+I713," ")</f>
        <v> </v>
      </c>
      <c r="K713" s="64" t="str">
        <f aca="true">IF(J713&lt;&gt;" ",OFFSET(ActionDice,J713,0),"-")</f>
        <v>-</v>
      </c>
      <c r="L713" s="67" t="n">
        <f aca="false">OR(RIGHT(C713, 3)="(D)", NOT(ISERROR(MATCH(D713&amp;" (D)", C$657:C$697, 0))))</f>
        <v>0</v>
      </c>
      <c r="M713" s="64" t="str">
        <f aca="true">IF(G713&gt;0,IF(L713,"D",OFFSET(Talents!D$2,G713,0))&amp;OFFSET(Talents!E$2,G713,0)," ")</f>
        <v> </v>
      </c>
      <c r="N713" s="64" t="n">
        <f aca="false">AND(D713&lt;&gt;" ",OR(E713&lt;&gt;0,I713&lt;&gt;0))</f>
        <v>0</v>
      </c>
      <c r="O713" s="300" t="n">
        <f aca="false">O712+IF(N712,1,0)</f>
        <v>24</v>
      </c>
      <c r="P713" s="324" t="n">
        <f aca="false">IF(Build!$BY713&lt;=Build!P$615,MATCH(Build!$BY713,Build!O$617:O$714,0))</f>
        <v>0</v>
      </c>
      <c r="S713" s="56"/>
      <c r="T713" s="56"/>
      <c r="U713" s="300" t="n">
        <f aca="false">U712+IF(T399&lt;&gt;"",1,0)</f>
        <v>0</v>
      </c>
      <c r="V713" s="112" t="n">
        <f aca="false">V712+IF(T431&lt;&gt;"",1,0)</f>
        <v>0</v>
      </c>
      <c r="W713" s="112" t="n">
        <f aca="false">W712+IF(T463&lt;&gt;"",1,0)</f>
        <v>0</v>
      </c>
      <c r="X713" s="112" t="n">
        <f aca="false">X712+IF(T495&lt;&gt;"",1,0)</f>
        <v>0</v>
      </c>
      <c r="Y713" s="112" t="n">
        <f aca="false">Y712+IF(T527&lt;&gt;"",1,0)</f>
        <v>0</v>
      </c>
      <c r="Z713" s="324" t="n">
        <f aca="false">Z712+IF($T559&lt;&gt;"",1,0)</f>
        <v>0</v>
      </c>
      <c r="AA713" s="300" t="n">
        <f aca="false">IF($BY713&lt;=U$615,MATCH($BY713,U$617:U$737,0))</f>
        <v>0</v>
      </c>
      <c r="AB713" s="112" t="n">
        <f aca="false">IF($BY713&lt;=V$615,MATCH($BY713,V$617:V$737,0))</f>
        <v>0</v>
      </c>
      <c r="AC713" s="112" t="n">
        <f aca="false">IF($BY713&lt;=W$615,MATCH($BY713,W$617:W$737,0))</f>
        <v>0</v>
      </c>
      <c r="AD713" s="112" t="n">
        <f aca="false">IF($BY713&lt;=X$615,MATCH($BY713,X$617:X$737,0))</f>
        <v>0</v>
      </c>
      <c r="AE713" s="112" t="n">
        <f aca="false">IF($BY713&lt;=Y$615,MATCH($BY713,Y$617:Y$737,0))</f>
        <v>0</v>
      </c>
      <c r="AF713" s="324" t="n">
        <f aca="false">IF($BY713&lt;=Z$615,MATCH($BY713,Z$617:Z$737,0))</f>
        <v>0</v>
      </c>
      <c r="AG713" s="325" t="str">
        <f aca="true">IF(AND(AA713&lt;="",AP106=""),OFFSET(Spells!H$2,AA713,0),"")</f>
        <v>Effect</v>
      </c>
      <c r="AH713" s="325" t="str">
        <f aca="true">IF(AND(AB713&lt;="",AP106=""),OFFSET(Spells!R$2,AB713,0),"")</f>
        <v>Effect</v>
      </c>
      <c r="AI713" s="325" t="str">
        <f aca="true">IF(AND(AC713&lt;="",AP106=""),OFFSET(Spells!AB$2,AC713,0),"")</f>
        <v>Effect</v>
      </c>
      <c r="AJ713" s="326" t="str">
        <f aca="true">IF(AND(AD713&lt;="",AP106=""),OFFSET(Spells!AL$2,AD713,0),"")</f>
        <v>Effect</v>
      </c>
      <c r="AK713" s="326" t="str">
        <f aca="true">IF(AND(AE713&lt;="",AP106=""),OFFSET(Spells!AV$2,AE713,0),"")</f>
        <v>Effect</v>
      </c>
      <c r="AL713" s="325" t="str">
        <f aca="true">IF(AND(AF713&lt;="",AP104=""),OFFSET(Spells!$H$2,AF713,0),"")</f>
        <v>Effect</v>
      </c>
      <c r="AM713" s="56"/>
      <c r="AN713" s="42"/>
      <c r="AO713" s="42"/>
      <c r="AP713" s="42"/>
      <c r="AQ713" s="340"/>
      <c r="AR713" s="327" t="str">
        <f aca="false">T117&amp;IF(Z117&lt;&gt;"","("&amp;Z117&amp;")","")</f>
        <v>Picking Pockets</v>
      </c>
      <c r="AS713" s="112" t="n">
        <f aca="false">X117</f>
        <v>0</v>
      </c>
      <c r="AT713" s="112" t="n">
        <f aca="true">OFFSET(CostSkill,AS713,0)-OFFSET(CostSkill,W117,0)</f>
        <v>0</v>
      </c>
      <c r="AU713" s="112" t="str">
        <f aca="false">Y117</f>
        <v>D</v>
      </c>
      <c r="AV713" s="112" t="n">
        <f aca="false">AV712+IF(AND(AR713&lt;&gt;" ",AS713&gt;0),1,0)</f>
        <v>15</v>
      </c>
      <c r="AW713" s="324"/>
      <c r="BY713" s="333" t="n">
        <f aca="false">BY712+1</f>
        <v>97</v>
      </c>
      <c r="BZ713" s="329" t="n">
        <f aca="false">B293</f>
        <v>0</v>
      </c>
      <c r="CA713" s="112" t="n">
        <f aca="false">F293</f>
        <v>0</v>
      </c>
      <c r="CB713" s="112" t="n">
        <f aca="false">G293</f>
        <v>0</v>
      </c>
      <c r="CC713" s="112" t="n">
        <f aca="false">H293</f>
        <v>0</v>
      </c>
      <c r="CD713" s="329" t="e">
        <f aca="false">FIND(",",BZ713)</f>
        <v>#VALUE!</v>
      </c>
      <c r="CE713" s="329" t="str">
        <f aca="false">IF(ISERROR(CD713),BZ713,MID(BZ713,CD713+2,20)&amp;" "&amp;LEFT(BZ713,CD713-1))&amp;IF(ISERROR(VALUE(CA713)),"",IF(CA713&gt;1," ("&amp;CA713&amp;")",""))</f>
        <v>0</v>
      </c>
      <c r="CF713" s="329" t="n">
        <f aca="false">IF(CC713=" "," ",IF(ISERROR(VALUE(CA713)),CC713,CA713*CC713))</f>
        <v>0</v>
      </c>
      <c r="CG713" s="112" t="n">
        <f aca="false">CG712+IF(AND(BZ713&lt;&gt;0,CA713&lt;&gt;0),1,0)</f>
        <v>20</v>
      </c>
      <c r="CH713" s="112" t="n">
        <f aca="false">IF($BY713&lt;=CH$615,MATCH($BY713,CG$617:CG$863,0))</f>
        <v>0</v>
      </c>
    </row>
    <row r="714" s="32" customFormat="true" ht="12.75" hidden="false" customHeight="false" outlineLevel="0" collapsed="false">
      <c r="C714" s="343"/>
      <c r="O714" s="288" t="n">
        <f aca="false">O713+IF(N713,1,0)</f>
        <v>24</v>
      </c>
      <c r="P714" s="324" t="n">
        <f aca="false">IF(Build!$BY714&lt;=Build!P$615,MATCH(Build!$BY714,Build!O$617:O$714,0))</f>
        <v>0</v>
      </c>
      <c r="S714" s="56"/>
      <c r="T714" s="56"/>
      <c r="U714" s="300" t="n">
        <f aca="false">U713+IF(T400&lt;&gt;"",1,0)</f>
        <v>0</v>
      </c>
      <c r="V714" s="112" t="n">
        <f aca="false">V713+IF(T432&lt;&gt;"",1,0)</f>
        <v>0</v>
      </c>
      <c r="W714" s="112" t="n">
        <f aca="false">W713+IF(T464&lt;&gt;"",1,0)</f>
        <v>0</v>
      </c>
      <c r="X714" s="112" t="n">
        <f aca="false">X713+IF(T496&lt;&gt;"",1,0)</f>
        <v>0</v>
      </c>
      <c r="Y714" s="112" t="n">
        <f aca="false">Y713+IF(T528&lt;&gt;"",1,0)</f>
        <v>0</v>
      </c>
      <c r="Z714" s="324" t="n">
        <f aca="false">Z713+IF($T560&lt;&gt;"",1,0)</f>
        <v>0</v>
      </c>
      <c r="AA714" s="300" t="n">
        <f aca="false">IF($BY714&lt;=U$615,MATCH($BY714,U$617:U$737,0))</f>
        <v>0</v>
      </c>
      <c r="AB714" s="112" t="n">
        <f aca="false">IF($BY714&lt;=V$615,MATCH($BY714,V$617:V$737,0))</f>
        <v>0</v>
      </c>
      <c r="AC714" s="112" t="n">
        <f aca="false">IF($BY714&lt;=W$615,MATCH($BY714,W$617:W$737,0))</f>
        <v>0</v>
      </c>
      <c r="AD714" s="112" t="n">
        <f aca="false">IF($BY714&lt;=X$615,MATCH($BY714,X$617:X$737,0))</f>
        <v>0</v>
      </c>
      <c r="AE714" s="112" t="n">
        <f aca="false">IF($BY714&lt;=Y$615,MATCH($BY714,Y$617:Y$737,0))</f>
        <v>0</v>
      </c>
      <c r="AF714" s="324" t="n">
        <f aca="false">IF($BY714&lt;=Z$615,MATCH($BY714,Z$617:Z$737,0))</f>
        <v>0</v>
      </c>
      <c r="AG714" s="325" t="str">
        <f aca="true">IF(AND(AA714&lt;="",AP107=""),OFFSET(Spells!H$2,AA714,0),"")</f>
        <v>Effect</v>
      </c>
      <c r="AH714" s="325" t="str">
        <f aca="true">IF(AND(AB714&lt;="",AP107=""),OFFSET(Spells!R$2,AB714,0),"")</f>
        <v>Effect</v>
      </c>
      <c r="AI714" s="325" t="str">
        <f aca="true">IF(AND(AC714&lt;="",AP107=""),OFFSET(Spells!AB$2,AC714,0),"")</f>
        <v>Effect</v>
      </c>
      <c r="AJ714" s="326" t="str">
        <f aca="true">IF(AND(AD714&lt;="",AP107=""),OFFSET(Spells!AL$2,AD714,0),"")</f>
        <v>Effect</v>
      </c>
      <c r="AK714" s="326" t="str">
        <f aca="true">IF(AND(AE714&lt;="",AP107=""),OFFSET(Spells!AV$2,AE714,0),"")</f>
        <v>Effect</v>
      </c>
      <c r="AL714" s="325" t="str">
        <f aca="true">IF(AND(AF714&lt;="",AP105=""),OFFSET(Spells!$H$2,AF714,0),"")</f>
        <v>Effect</v>
      </c>
      <c r="AM714" s="56"/>
      <c r="AN714" s="42"/>
      <c r="AO714" s="42"/>
      <c r="AP714" s="42"/>
      <c r="AQ714" s="340"/>
      <c r="AR714" s="327" t="str">
        <f aca="false">T118&amp;IF(Z118&lt;&gt;"","("&amp;Z118&amp;")","")</f>
        <v>Pilot Boat</v>
      </c>
      <c r="AS714" s="112" t="n">
        <f aca="false">X118</f>
        <v>0</v>
      </c>
      <c r="AT714" s="112" t="n">
        <f aca="true">OFFSET(CostSkill,AS714,0)-OFFSET(CostSkill,W118,0)</f>
        <v>0</v>
      </c>
      <c r="AU714" s="112" t="str">
        <f aca="false">Y118</f>
        <v>P</v>
      </c>
      <c r="AV714" s="112" t="n">
        <f aca="false">AV713+IF(AND(AR714&lt;&gt;" ",AS714&gt;0),1,0)</f>
        <v>15</v>
      </c>
      <c r="AW714" s="324"/>
      <c r="BY714" s="333" t="n">
        <f aca="false">BY713+1</f>
        <v>98</v>
      </c>
      <c r="BZ714" s="329" t="n">
        <f aca="false">B294</f>
        <v>0</v>
      </c>
      <c r="CA714" s="112" t="n">
        <f aca="false">F294</f>
        <v>0</v>
      </c>
      <c r="CB714" s="112" t="n">
        <f aca="false">G294</f>
        <v>0</v>
      </c>
      <c r="CC714" s="112" t="n">
        <f aca="false">H294</f>
        <v>0</v>
      </c>
      <c r="CD714" s="329" t="e">
        <f aca="false">FIND(",",BZ714)</f>
        <v>#VALUE!</v>
      </c>
      <c r="CE714" s="329" t="str">
        <f aca="false">IF(ISERROR(CD714),BZ714,MID(BZ714,CD714+2,20)&amp;" "&amp;LEFT(BZ714,CD714-1))&amp;IF(ISERROR(VALUE(CA714)),"",IF(CA714&gt;1," ("&amp;CA714&amp;")",""))</f>
        <v>0</v>
      </c>
      <c r="CF714" s="329" t="n">
        <f aca="false">IF(CC714=" "," ",IF(ISERROR(VALUE(CA714)),CC714,CA714*CC714))</f>
        <v>0</v>
      </c>
      <c r="CG714" s="112" t="n">
        <f aca="false">CG713+IF(AND(BZ714&lt;&gt;0,CA714&lt;&gt;0),1,0)</f>
        <v>20</v>
      </c>
      <c r="CH714" s="112" t="n">
        <f aca="false">IF($BY714&lt;=CH$615,MATCH($BY714,CG$617:CG$863,0))</f>
        <v>0</v>
      </c>
    </row>
    <row r="715" s="32" customFormat="true" ht="12.75" hidden="false" customHeight="false" outlineLevel="0" collapsed="false">
      <c r="C715" s="343"/>
      <c r="U715" s="300" t="n">
        <f aca="false">U714+IF(T401&lt;&gt;"",1,0)</f>
        <v>0</v>
      </c>
      <c r="V715" s="112" t="n">
        <f aca="false">V714+IF(T433&lt;&gt;"",1,0)</f>
        <v>0</v>
      </c>
      <c r="W715" s="112" t="n">
        <f aca="false">W714+IF(T465&lt;&gt;"",1,0)</f>
        <v>0</v>
      </c>
      <c r="X715" s="112" t="n">
        <f aca="false">X714+IF(T497&lt;&gt;"",1,0)</f>
        <v>0</v>
      </c>
      <c r="Y715" s="112" t="n">
        <f aca="false">Y714+IF(T529&lt;&gt;"",1,0)</f>
        <v>0</v>
      </c>
      <c r="Z715" s="324" t="n">
        <f aca="false">Z714+IF($T561&lt;&gt;"",1,0)</f>
        <v>0</v>
      </c>
      <c r="AA715" s="300" t="n">
        <f aca="false">IF($BY715&lt;=U$615,MATCH($BY715,U$617:U$737,0))</f>
        <v>0</v>
      </c>
      <c r="AB715" s="112" t="n">
        <f aca="false">IF($BY715&lt;=V$615,MATCH($BY715,V$617:V$737,0))</f>
        <v>0</v>
      </c>
      <c r="AC715" s="112" t="n">
        <f aca="false">IF($BY715&lt;=W$615,MATCH($BY715,W$617:W$737,0))</f>
        <v>0</v>
      </c>
      <c r="AD715" s="112" t="n">
        <f aca="false">IF($BY715&lt;=X$615,MATCH($BY715,X$617:X$737,0))</f>
        <v>0</v>
      </c>
      <c r="AE715" s="112" t="n">
        <f aca="false">IF($BY715&lt;=Y$615,MATCH($BY715,Y$617:Y$737,0))</f>
        <v>0</v>
      </c>
      <c r="AF715" s="324" t="n">
        <f aca="false">IF($BY715&lt;=Z$615,MATCH($BY715,Z$617:Z$737,0))</f>
        <v>0</v>
      </c>
      <c r="AG715" s="325" t="str">
        <f aca="true">IF(AND(AA715&lt;="",AP108=""),OFFSET(Spells!H$2,AA715,0),"")</f>
        <v>Effect</v>
      </c>
      <c r="AH715" s="325" t="str">
        <f aca="true">IF(AND(AB715&lt;="",AP108=""),OFFSET(Spells!R$2,AB715,0),"")</f>
        <v>Effect</v>
      </c>
      <c r="AI715" s="325" t="str">
        <f aca="true">IF(AND(AC715&lt;="",AP108=""),OFFSET(Spells!AB$2,AC715,0),"")</f>
        <v>Effect</v>
      </c>
      <c r="AJ715" s="326" t="str">
        <f aca="true">IF(AND(AD715&lt;="",AP108=""),OFFSET(Spells!AL$2,AD715,0),"")</f>
        <v>Effect</v>
      </c>
      <c r="AK715" s="326" t="str">
        <f aca="true">IF(AND(AE715&lt;="",AP108=""),OFFSET(Spells!AV$2,AE715,0),"")</f>
        <v>Effect</v>
      </c>
      <c r="AL715" s="325" t="str">
        <f aca="true">IF(AND(AF715&lt;="",AP106=""),OFFSET(Spells!$H$2,AF715,0),"")</f>
        <v>Effect</v>
      </c>
      <c r="AM715" s="56"/>
      <c r="AN715" s="42"/>
      <c r="AO715" s="42"/>
      <c r="AP715" s="42"/>
      <c r="AQ715" s="340"/>
      <c r="AR715" s="327" t="str">
        <f aca="false">T119&amp;IF(Z119&lt;&gt;"","("&amp;Z119&amp;")","")</f>
        <v>Read/Write Magic</v>
      </c>
      <c r="AS715" s="112" t="n">
        <f aca="false">X119</f>
        <v>0</v>
      </c>
      <c r="AT715" s="112" t="n">
        <f aca="true">OFFSET(CostSkill,AS715,0)-OFFSET(CostSkill,W119,0)</f>
        <v>0</v>
      </c>
      <c r="AU715" s="112" t="str">
        <f aca="false">Y119</f>
        <v>P</v>
      </c>
      <c r="AV715" s="112" t="n">
        <f aca="false">AV714+IF(AND(AR715&lt;&gt;" ",AS715&gt;0),1,0)</f>
        <v>15</v>
      </c>
      <c r="AW715" s="324"/>
      <c r="BY715" s="333" t="n">
        <f aca="false">BY714+1</f>
        <v>99</v>
      </c>
      <c r="BZ715" s="329" t="n">
        <f aca="false">B295</f>
        <v>0</v>
      </c>
      <c r="CA715" s="112" t="n">
        <f aca="false">F295</f>
        <v>0</v>
      </c>
      <c r="CB715" s="112" t="n">
        <f aca="false">G295</f>
        <v>0</v>
      </c>
      <c r="CC715" s="112" t="n">
        <f aca="false">H295</f>
        <v>0</v>
      </c>
      <c r="CD715" s="329" t="e">
        <f aca="false">FIND(",",BZ715)</f>
        <v>#VALUE!</v>
      </c>
      <c r="CE715" s="329" t="str">
        <f aca="false">IF(ISERROR(CD715),BZ715,MID(BZ715,CD715+2,20)&amp;" "&amp;LEFT(BZ715,CD715-1))&amp;IF(ISERROR(VALUE(CA715)),"",IF(CA715&gt;1," ("&amp;CA715&amp;")",""))</f>
        <v>0</v>
      </c>
      <c r="CF715" s="329" t="n">
        <f aca="false">IF(CC715=" "," ",IF(ISERROR(VALUE(CA715)),CC715,CA715*CC715))</f>
        <v>0</v>
      </c>
      <c r="CG715" s="112" t="n">
        <f aca="false">CG714+IF(AND(BZ715&lt;&gt;0,CA715&lt;&gt;0),1,0)</f>
        <v>20</v>
      </c>
      <c r="CH715" s="112" t="n">
        <f aca="false">IF($BY715&lt;=CH$615,MATCH($BY715,CG$617:CG$863,0))</f>
        <v>0</v>
      </c>
    </row>
    <row r="716" s="32" customFormat="true" ht="12.75" hidden="false" customHeight="false" outlineLevel="0" collapsed="false">
      <c r="C716" s="343"/>
      <c r="U716" s="300" t="n">
        <f aca="false">U715+IF(T402&lt;&gt;"",1,0)</f>
        <v>0</v>
      </c>
      <c r="V716" s="112" t="n">
        <f aca="false">V715+IF(T434&lt;&gt;"",1,0)</f>
        <v>0</v>
      </c>
      <c r="W716" s="112" t="n">
        <f aca="false">W715+IF(T466&lt;&gt;"",1,0)</f>
        <v>0</v>
      </c>
      <c r="X716" s="112" t="n">
        <f aca="false">X715+IF(T498&lt;&gt;"",1,0)</f>
        <v>0</v>
      </c>
      <c r="Y716" s="112" t="n">
        <f aca="false">Y715+IF(T530&lt;&gt;"",1,0)</f>
        <v>0</v>
      </c>
      <c r="Z716" s="324" t="n">
        <f aca="false">Z715+IF($T562&lt;&gt;"",1,0)</f>
        <v>0</v>
      </c>
      <c r="AA716" s="300" t="n">
        <f aca="false">IF($BY716&lt;=U$615,MATCH($BY716,U$617:U$737,0))</f>
        <v>0</v>
      </c>
      <c r="AB716" s="112" t="n">
        <f aca="false">IF($BY716&lt;=V$615,MATCH($BY716,V$617:V$737,0))</f>
        <v>0</v>
      </c>
      <c r="AC716" s="112" t="n">
        <f aca="false">IF($BY716&lt;=W$615,MATCH($BY716,W$617:W$737,0))</f>
        <v>0</v>
      </c>
      <c r="AD716" s="112" t="n">
        <f aca="false">IF($BY716&lt;=X$615,MATCH($BY716,X$617:X$737,0))</f>
        <v>0</v>
      </c>
      <c r="AE716" s="112" t="n">
        <f aca="false">IF($BY716&lt;=Y$615,MATCH($BY716,Y$617:Y$737,0))</f>
        <v>0</v>
      </c>
      <c r="AF716" s="324" t="n">
        <f aca="false">IF($BY716&lt;=Z$615,MATCH($BY716,Z$617:Z$737,0))</f>
        <v>0</v>
      </c>
      <c r="AG716" s="325" t="str">
        <f aca="true">IF(AND(AA716&lt;="",AP109=""),OFFSET(Spells!H$2,AA716,0),"")</f>
        <v>Effect</v>
      </c>
      <c r="AH716" s="325" t="str">
        <f aca="true">IF(AND(AB716&lt;="",AP109=""),OFFSET(Spells!R$2,AB716,0),"")</f>
        <v>Effect</v>
      </c>
      <c r="AI716" s="325" t="str">
        <f aca="true">IF(AND(AC716&lt;="",AP109=""),OFFSET(Spells!AB$2,AC716,0),"")</f>
        <v>Effect</v>
      </c>
      <c r="AJ716" s="326" t="str">
        <f aca="true">IF(AND(AD716&lt;="",AP109=""),OFFSET(Spells!AL$2,AD716,0),"")</f>
        <v>Effect</v>
      </c>
      <c r="AK716" s="326" t="str">
        <f aca="true">IF(AND(AE716&lt;="",AP109=""),OFFSET(Spells!AV$2,AE716,0),"")</f>
        <v>Effect</v>
      </c>
      <c r="AL716" s="325" t="str">
        <f aca="true">IF(AND(AF716&lt;="",AP107=""),OFFSET(Spells!$H$2,AF716,0),"")</f>
        <v>Effect</v>
      </c>
      <c r="AM716" s="56"/>
      <c r="AN716" s="42"/>
      <c r="AO716" s="42"/>
      <c r="AP716" s="42"/>
      <c r="AQ716" s="340"/>
      <c r="AR716" s="327" t="str">
        <f aca="false">T120&amp;IF(Z120&lt;&gt;"","("&amp;Z120&amp;")","")</f>
        <v>Read River</v>
      </c>
      <c r="AS716" s="112" t="n">
        <f aca="false">X120</f>
        <v>0</v>
      </c>
      <c r="AT716" s="112" t="n">
        <f aca="true">OFFSET(CostSkill,AS716,0)-OFFSET(CostSkill,W120,0)</f>
        <v>0</v>
      </c>
      <c r="AU716" s="112" t="str">
        <f aca="false">Y120</f>
        <v>P</v>
      </c>
      <c r="AV716" s="112" t="n">
        <f aca="false">AV715+IF(AND(AR716&lt;&gt;" ",AS716&gt;0),1,0)</f>
        <v>15</v>
      </c>
      <c r="AW716" s="324"/>
      <c r="BY716" s="333" t="n">
        <f aca="false">BY715+1</f>
        <v>100</v>
      </c>
      <c r="BZ716" s="329" t="n">
        <f aca="false">B296</f>
        <v>0</v>
      </c>
      <c r="CA716" s="112" t="n">
        <f aca="false">F296</f>
        <v>0</v>
      </c>
      <c r="CB716" s="112" t="n">
        <f aca="false">G296</f>
        <v>0</v>
      </c>
      <c r="CC716" s="112" t="n">
        <f aca="false">H296</f>
        <v>0</v>
      </c>
      <c r="CD716" s="329" t="e">
        <f aca="false">FIND(",",BZ716)</f>
        <v>#VALUE!</v>
      </c>
      <c r="CE716" s="329" t="str">
        <f aca="false">IF(ISERROR(CD716),BZ716,MID(BZ716,CD716+2,20)&amp;" "&amp;LEFT(BZ716,CD716-1))&amp;IF(ISERROR(VALUE(CA716)),"",IF(CA716&gt;1," ("&amp;CA716&amp;")",""))</f>
        <v>0</v>
      </c>
      <c r="CF716" s="329" t="n">
        <f aca="false">IF(CC716=" "," ",IF(ISERROR(VALUE(CA716)),CC716,CA716*CC716))</f>
        <v>0</v>
      </c>
      <c r="CG716" s="112" t="n">
        <f aca="false">CG715+IF(AND(BZ716&lt;&gt;0,CA716&lt;&gt;0),1,0)</f>
        <v>20</v>
      </c>
      <c r="CH716" s="112" t="n">
        <f aca="false">IF($BY716&lt;=CH$615,MATCH($BY716,CG$617:CG$863,0))</f>
        <v>0</v>
      </c>
    </row>
    <row r="717" s="32" customFormat="true" ht="12.75" hidden="false" customHeight="false" outlineLevel="0" collapsed="false">
      <c r="C717" s="343"/>
      <c r="U717" s="300" t="n">
        <f aca="false">U716+IF(T403&lt;&gt;"",1,0)</f>
        <v>0</v>
      </c>
      <c r="V717" s="112" t="n">
        <f aca="false">V716+IF(T435&lt;&gt;"",1,0)</f>
        <v>0</v>
      </c>
      <c r="W717" s="112" t="n">
        <f aca="false">W716+IF(T467&lt;&gt;"",1,0)</f>
        <v>0</v>
      </c>
      <c r="X717" s="112" t="n">
        <f aca="false">X716+IF(T499&lt;&gt;"",1,0)</f>
        <v>0</v>
      </c>
      <c r="Y717" s="112" t="n">
        <f aca="false">Y716+IF(T531&lt;&gt;"",1,0)</f>
        <v>0</v>
      </c>
      <c r="Z717" s="324" t="n">
        <f aca="false">Z716+IF($T563&lt;&gt;"",1,0)</f>
        <v>0</v>
      </c>
      <c r="AA717" s="300" t="n">
        <f aca="false">IF($BY717&lt;=U$615,MATCH($BY717,U$617:U$737,0))</f>
        <v>0</v>
      </c>
      <c r="AB717" s="112" t="n">
        <f aca="false">IF($BY717&lt;=V$615,MATCH($BY717,V$617:V$737,0))</f>
        <v>0</v>
      </c>
      <c r="AC717" s="112" t="n">
        <f aca="false">IF($BY717&lt;=W$615,MATCH($BY717,W$617:W$737,0))</f>
        <v>0</v>
      </c>
      <c r="AD717" s="112" t="n">
        <f aca="false">IF($BY717&lt;=X$615,MATCH($BY717,X$617:X$737,0))</f>
        <v>0</v>
      </c>
      <c r="AE717" s="112" t="n">
        <f aca="false">IF($BY717&lt;=Y$615,MATCH($BY717,Y$617:Y$737,0))</f>
        <v>0</v>
      </c>
      <c r="AF717" s="324" t="n">
        <f aca="false">IF($BY717&lt;=Z$615,MATCH($BY717,Z$617:Z$737,0))</f>
        <v>0</v>
      </c>
      <c r="AG717" s="325" t="str">
        <f aca="true">IF(AND(AA717&lt;="",AP110=""),OFFSET(Spells!H$2,AA717,0),"")</f>
        <v>Effect</v>
      </c>
      <c r="AH717" s="325" t="str">
        <f aca="true">IF(AND(AB717&lt;="",AP110=""),OFFSET(Spells!R$2,AB717,0),"")</f>
        <v>Effect</v>
      </c>
      <c r="AI717" s="325" t="str">
        <f aca="true">IF(AND(AC717&lt;="",AP110=""),OFFSET(Spells!AB$2,AC717,0),"")</f>
        <v>Effect</v>
      </c>
      <c r="AJ717" s="326" t="str">
        <f aca="true">IF(AND(AD717&lt;="",AP110=""),OFFSET(Spells!AL$2,AD717,0),"")</f>
        <v>Effect</v>
      </c>
      <c r="AK717" s="326" t="str">
        <f aca="true">IF(AND(AE717&lt;="",AP110=""),OFFSET(Spells!AV$2,AE717,0),"")</f>
        <v>Effect</v>
      </c>
      <c r="AL717" s="325" t="str">
        <f aca="true">IF(AND(AF717&lt;="",AP108=""),OFFSET(Spells!$H$2,AF717,0),"")</f>
        <v>Effect</v>
      </c>
      <c r="AM717" s="56"/>
      <c r="AN717" s="42"/>
      <c r="AO717" s="42"/>
      <c r="AP717" s="42"/>
      <c r="AQ717" s="340"/>
      <c r="AR717" s="327" t="str">
        <f aca="false">T121&amp;IF(Z121&lt;&gt;"","("&amp;Z121&amp;")","")</f>
        <v>Research</v>
      </c>
      <c r="AS717" s="112" t="n">
        <f aca="false">X121</f>
        <v>0</v>
      </c>
      <c r="AT717" s="112" t="n">
        <f aca="true">OFFSET(CostSkill,AS717,0)-OFFSET(CostSkill,W121,0)</f>
        <v>0</v>
      </c>
      <c r="AU717" s="112" t="str">
        <f aca="false">Y121</f>
        <v>P</v>
      </c>
      <c r="AV717" s="112" t="n">
        <f aca="false">AV716+IF(AND(AR717&lt;&gt;" ",AS717&gt;0),1,0)</f>
        <v>15</v>
      </c>
      <c r="AW717" s="324"/>
      <c r="BY717" s="333" t="n">
        <f aca="false">BY716+1</f>
        <v>101</v>
      </c>
      <c r="BZ717" s="329" t="n">
        <f aca="false">B297</f>
        <v>0</v>
      </c>
      <c r="CA717" s="112" t="n">
        <f aca="false">F297</f>
        <v>0</v>
      </c>
      <c r="CB717" s="112" t="n">
        <f aca="false">G297</f>
        <v>0</v>
      </c>
      <c r="CC717" s="112" t="n">
        <f aca="false">H297</f>
        <v>0</v>
      </c>
      <c r="CD717" s="329" t="e">
        <f aca="false">FIND(",",BZ717)</f>
        <v>#VALUE!</v>
      </c>
      <c r="CE717" s="329" t="str">
        <f aca="false">IF(ISERROR(CD717),BZ717,MID(BZ717,CD717+2,20)&amp;" "&amp;LEFT(BZ717,CD717-1))&amp;IF(ISERROR(VALUE(CA717)),"",IF(CA717&gt;1," ("&amp;CA717&amp;")",""))</f>
        <v>0</v>
      </c>
      <c r="CF717" s="329" t="n">
        <f aca="false">IF(CC717=" "," ",IF(ISERROR(VALUE(CA717)),CC717,CA717*CC717))</f>
        <v>0</v>
      </c>
      <c r="CG717" s="112" t="n">
        <f aca="false">CG716+IF(AND(BZ717&lt;&gt;0,CA717&lt;&gt;0),1,0)</f>
        <v>20</v>
      </c>
      <c r="CH717" s="112" t="n">
        <f aca="false">IF($BY717&lt;=CH$615,MATCH($BY717,CG$617:CG$863,0))</f>
        <v>0</v>
      </c>
    </row>
    <row r="718" s="32" customFormat="true" ht="12.75" hidden="false" customHeight="false" outlineLevel="0" collapsed="false">
      <c r="C718" s="343"/>
      <c r="U718" s="300" t="n">
        <f aca="false">U717+IF(T404&lt;&gt;"",1,0)</f>
        <v>0</v>
      </c>
      <c r="V718" s="112" t="n">
        <f aca="false">V717+IF(T436&lt;&gt;"",1,0)</f>
        <v>0</v>
      </c>
      <c r="W718" s="112" t="n">
        <f aca="false">W717+IF(T468&lt;&gt;"",1,0)</f>
        <v>0</v>
      </c>
      <c r="X718" s="112" t="n">
        <f aca="false">X717+IF(T500&lt;&gt;"",1,0)</f>
        <v>0</v>
      </c>
      <c r="Y718" s="112" t="n">
        <f aca="false">Y717+IF(T532&lt;&gt;"",1,0)</f>
        <v>0</v>
      </c>
      <c r="Z718" s="324" t="n">
        <f aca="false">Z717+IF($T564&lt;&gt;"",1,0)</f>
        <v>0</v>
      </c>
      <c r="AA718" s="300" t="n">
        <f aca="false">IF($BY718&lt;=U$615,MATCH($BY718,U$617:U$737,0))</f>
        <v>0</v>
      </c>
      <c r="AB718" s="112" t="n">
        <f aca="false">IF($BY718&lt;=V$615,MATCH($BY718,V$617:V$737,0))</f>
        <v>0</v>
      </c>
      <c r="AC718" s="112" t="n">
        <f aca="false">IF($BY718&lt;=W$615,MATCH($BY718,W$617:W$737,0))</f>
        <v>0</v>
      </c>
      <c r="AD718" s="112" t="n">
        <f aca="false">IF($BY718&lt;=X$615,MATCH($BY718,X$617:X$737,0))</f>
        <v>0</v>
      </c>
      <c r="AE718" s="112" t="n">
        <f aca="false">IF($BY718&lt;=Y$615,MATCH($BY718,Y$617:Y$737,0))</f>
        <v>0</v>
      </c>
      <c r="AF718" s="324" t="n">
        <f aca="false">IF($BY718&lt;=Z$615,MATCH($BY718,Z$617:Z$737,0))</f>
        <v>0</v>
      </c>
      <c r="AG718" s="325" t="str">
        <f aca="true">IF(AND(AA718&lt;="",AP111=""),OFFSET(Spells!H$2,AA718,0),"")</f>
        <v>Effect</v>
      </c>
      <c r="AH718" s="325" t="str">
        <f aca="true">IF(AND(AB718&lt;="",AP111=""),OFFSET(Spells!R$2,AB718,0),"")</f>
        <v>Effect</v>
      </c>
      <c r="AI718" s="325" t="str">
        <f aca="true">IF(AND(AC718&lt;="",AP111=""),OFFSET(Spells!AB$2,AC718,0),"")</f>
        <v>Effect</v>
      </c>
      <c r="AJ718" s="326" t="str">
        <f aca="true">IF(AND(AD718&lt;="",AP111=""),OFFSET(Spells!AL$2,AD718,0),"")</f>
        <v>Effect</v>
      </c>
      <c r="AK718" s="326" t="str">
        <f aca="true">IF(AND(AE718&lt;="",AP111=""),OFFSET(Spells!AV$2,AE718,0),"")</f>
        <v>Effect</v>
      </c>
      <c r="AL718" s="325" t="str">
        <f aca="true">IF(AND(AF718&lt;="",AP109=""),OFFSET(Spells!$H$2,AF718,0),"")</f>
        <v>Effect</v>
      </c>
      <c r="AM718" s="56"/>
      <c r="AN718" s="42"/>
      <c r="AO718" s="42"/>
      <c r="AP718" s="42"/>
      <c r="AQ718" s="340"/>
      <c r="AR718" s="327" t="str">
        <f aca="false">T122&amp;IF(Z122&lt;&gt;"","("&amp;Z122&amp;")","")</f>
        <v>Resist Taunt</v>
      </c>
      <c r="AS718" s="112" t="n">
        <f aca="false">X122</f>
        <v>0</v>
      </c>
      <c r="AT718" s="112" t="n">
        <f aca="true">OFFSET(CostSkill,AS718,0)-OFFSET(CostSkill,W122,0)</f>
        <v>0</v>
      </c>
      <c r="AU718" s="112" t="str">
        <f aca="false">Y122</f>
        <v>W</v>
      </c>
      <c r="AV718" s="112" t="n">
        <f aca="false">AV717+IF(AND(AR718&lt;&gt;" ",AS718&gt;0),1,0)</f>
        <v>15</v>
      </c>
      <c r="AW718" s="324"/>
      <c r="BY718" s="333" t="n">
        <f aca="false">BY717+1</f>
        <v>102</v>
      </c>
      <c r="BZ718" s="329" t="n">
        <f aca="false">B298</f>
        <v>0</v>
      </c>
      <c r="CA718" s="112" t="n">
        <f aca="false">F298</f>
        <v>0</v>
      </c>
      <c r="CB718" s="112" t="n">
        <f aca="false">G298</f>
        <v>0</v>
      </c>
      <c r="CC718" s="112" t="n">
        <f aca="false">H298</f>
        <v>0</v>
      </c>
      <c r="CD718" s="329" t="e">
        <f aca="false">FIND(",",BZ718)</f>
        <v>#VALUE!</v>
      </c>
      <c r="CE718" s="329" t="str">
        <f aca="false">IF(ISERROR(CD718),BZ718,MID(BZ718,CD718+2,20)&amp;" "&amp;LEFT(BZ718,CD718-1))&amp;IF(ISERROR(VALUE(CA718)),"",IF(CA718&gt;1," ("&amp;CA718&amp;")",""))</f>
        <v>0</v>
      </c>
      <c r="CF718" s="329" t="n">
        <f aca="false">IF(CC718=" "," ",IF(ISERROR(VALUE(CA718)),CC718,CA718*CC718))</f>
        <v>0</v>
      </c>
      <c r="CG718" s="112" t="n">
        <f aca="false">CG717+IF(AND(BZ718&lt;&gt;0,CA718&lt;&gt;0),1,0)</f>
        <v>20</v>
      </c>
      <c r="CH718" s="112" t="n">
        <f aca="false">IF($BY718&lt;=CH$615,MATCH($BY718,CG$617:CG$863,0))</f>
        <v>0</v>
      </c>
    </row>
    <row r="719" s="32" customFormat="true" ht="12.75" hidden="false" customHeight="false" outlineLevel="0" collapsed="false">
      <c r="B719" s="343"/>
      <c r="D719" s="343"/>
      <c r="U719" s="300" t="n">
        <f aca="false">U718+IF(T405&lt;&gt;"",1,0)</f>
        <v>0</v>
      </c>
      <c r="V719" s="112" t="n">
        <f aca="false">V718+IF(T437&lt;&gt;"",1,0)</f>
        <v>0</v>
      </c>
      <c r="W719" s="112" t="n">
        <f aca="false">W718+IF(T469&lt;&gt;"",1,0)</f>
        <v>0</v>
      </c>
      <c r="X719" s="112" t="n">
        <f aca="false">X718+IF(T501&lt;&gt;"",1,0)</f>
        <v>0</v>
      </c>
      <c r="Y719" s="112" t="n">
        <f aca="false">Y718+IF(T533&lt;&gt;"",1,0)</f>
        <v>0</v>
      </c>
      <c r="Z719" s="324" t="n">
        <f aca="false">Z718+IF($T565&lt;&gt;"",1,0)</f>
        <v>0</v>
      </c>
      <c r="AA719" s="300" t="n">
        <f aca="false">IF($BY719&lt;=U$615,MATCH($BY719,U$617:U$737,0))</f>
        <v>0</v>
      </c>
      <c r="AB719" s="112" t="n">
        <f aca="false">IF($BY719&lt;=V$615,MATCH($BY719,V$617:V$737,0))</f>
        <v>0</v>
      </c>
      <c r="AC719" s="112" t="n">
        <f aca="false">IF($BY719&lt;=W$615,MATCH($BY719,W$617:W$737,0))</f>
        <v>0</v>
      </c>
      <c r="AD719" s="112" t="n">
        <f aca="false">IF($BY719&lt;=X$615,MATCH($BY719,X$617:X$737,0))</f>
        <v>0</v>
      </c>
      <c r="AE719" s="112" t="n">
        <f aca="false">IF($BY719&lt;=Y$615,MATCH($BY719,Y$617:Y$737,0))</f>
        <v>0</v>
      </c>
      <c r="AF719" s="324" t="n">
        <f aca="false">IF($BY719&lt;=Z$615,MATCH($BY719,Z$617:Z$737,0))</f>
        <v>0</v>
      </c>
      <c r="AG719" s="325" t="str">
        <f aca="true">IF(AND(AA719&lt;="",AP112=""),OFFSET(Spells!H$2,AA719,0),"")</f>
        <v>Effect</v>
      </c>
      <c r="AH719" s="325" t="str">
        <f aca="true">IF(AND(AB719&lt;="",AP112=""),OFFSET(Spells!R$2,AB719,0),"")</f>
        <v>Effect</v>
      </c>
      <c r="AI719" s="325" t="str">
        <f aca="true">IF(AND(AC719&lt;="",AP112=""),OFFSET(Spells!AB$2,AC719,0),"")</f>
        <v>Effect</v>
      </c>
      <c r="AJ719" s="326" t="str">
        <f aca="true">IF(AND(AD719&lt;="",AP112=""),OFFSET(Spells!AL$2,AD719,0),"")</f>
        <v>Effect</v>
      </c>
      <c r="AK719" s="326" t="str">
        <f aca="true">IF(AND(AE719&lt;="",AP112=""),OFFSET(Spells!AV$2,AE719,0),"")</f>
        <v>Effect</v>
      </c>
      <c r="AL719" s="325" t="str">
        <f aca="true">IF(AND(AF719&lt;="",AP110=""),OFFSET(Spells!$H$2,AF719,0),"")</f>
        <v>Effect</v>
      </c>
      <c r="AM719" s="56"/>
      <c r="AN719" s="42"/>
      <c r="AO719" s="42"/>
      <c r="AP719" s="42"/>
      <c r="AQ719" s="340"/>
      <c r="AR719" s="327" t="str">
        <f aca="false">T123&amp;IF(Z123&lt;&gt;"","("&amp;Z123&amp;")","")</f>
        <v>Rhetoric</v>
      </c>
      <c r="AS719" s="112" t="n">
        <f aca="false">X123</f>
        <v>1</v>
      </c>
      <c r="AT719" s="112" t="n">
        <f aca="true">OFFSET(CostSkill,AS719,0)-OFFSET(CostSkill,W123,0)</f>
        <v>200</v>
      </c>
      <c r="AU719" s="112" t="str">
        <f aca="false">Y123</f>
        <v>P</v>
      </c>
      <c r="AV719" s="112" t="n">
        <f aca="false">AV718+IF(AND(AR719&lt;&gt;" ",AS719&gt;0),1,0)</f>
        <v>16</v>
      </c>
      <c r="AW719" s="324"/>
      <c r="BY719" s="333" t="n">
        <f aca="false">BY718+1</f>
        <v>103</v>
      </c>
      <c r="BZ719" s="329" t="n">
        <f aca="false">B299</f>
        <v>0</v>
      </c>
      <c r="CA719" s="112" t="n">
        <f aca="false">F299</f>
        <v>0</v>
      </c>
      <c r="CB719" s="112" t="n">
        <f aca="false">G299</f>
        <v>0</v>
      </c>
      <c r="CC719" s="112" t="n">
        <f aca="false">H299</f>
        <v>0</v>
      </c>
      <c r="CD719" s="329" t="e">
        <f aca="false">FIND(",",BZ719)</f>
        <v>#VALUE!</v>
      </c>
      <c r="CE719" s="329" t="str">
        <f aca="false">IF(ISERROR(CD719),BZ719,MID(BZ719,CD719+2,20)&amp;" "&amp;LEFT(BZ719,CD719-1))&amp;IF(ISERROR(VALUE(CA719)),"",IF(CA719&gt;1," ("&amp;CA719&amp;")",""))</f>
        <v>0</v>
      </c>
      <c r="CF719" s="329" t="n">
        <f aca="false">IF(CC719=" "," ",IF(ISERROR(VALUE(CA719)),CC719,CA719*CC719))</f>
        <v>0</v>
      </c>
      <c r="CG719" s="112" t="n">
        <f aca="false">CG718+IF(AND(BZ719&lt;&gt;0,CA719&lt;&gt;0),1,0)</f>
        <v>20</v>
      </c>
      <c r="CH719" s="112" t="n">
        <f aca="false">IF($BY719&lt;=CH$615,MATCH($BY719,CG$617:CG$863,0))</f>
        <v>0</v>
      </c>
    </row>
    <row r="720" s="32" customFormat="true" ht="12.75" hidden="false" customHeight="false" outlineLevel="0" collapsed="false">
      <c r="B720" s="343"/>
      <c r="D720" s="343"/>
      <c r="U720" s="300" t="n">
        <f aca="false">U719+IF(T406&lt;&gt;"",1,0)</f>
        <v>0</v>
      </c>
      <c r="V720" s="112" t="n">
        <f aca="false">V719+IF(T438&lt;&gt;"",1,0)</f>
        <v>0</v>
      </c>
      <c r="W720" s="112" t="n">
        <f aca="false">W719+IF(T470&lt;&gt;"",1,0)</f>
        <v>0</v>
      </c>
      <c r="X720" s="112" t="n">
        <f aca="false">X719+IF(T502&lt;&gt;"",1,0)</f>
        <v>0</v>
      </c>
      <c r="Y720" s="112" t="n">
        <f aca="false">Y719+IF(T534&lt;&gt;"",1,0)</f>
        <v>0</v>
      </c>
      <c r="Z720" s="324" t="n">
        <f aca="false">Z719+IF($T566&lt;&gt;"",1,0)</f>
        <v>0</v>
      </c>
      <c r="AA720" s="300" t="n">
        <f aca="false">IF($BY720&lt;=U$615,MATCH($BY720,U$617:U$737,0))</f>
        <v>0</v>
      </c>
      <c r="AB720" s="112" t="n">
        <f aca="false">IF($BY720&lt;=V$615,MATCH($BY720,V$617:V$737,0))</f>
        <v>0</v>
      </c>
      <c r="AC720" s="112" t="n">
        <f aca="false">IF($BY720&lt;=W$615,MATCH($BY720,W$617:W$737,0))</f>
        <v>0</v>
      </c>
      <c r="AD720" s="112" t="n">
        <f aca="false">IF($BY720&lt;=X$615,MATCH($BY720,X$617:X$737,0))</f>
        <v>0</v>
      </c>
      <c r="AE720" s="112" t="n">
        <f aca="false">IF($BY720&lt;=Y$615,MATCH($BY720,Y$617:Y$737,0))</f>
        <v>0</v>
      </c>
      <c r="AF720" s="324" t="n">
        <f aca="false">IF($BY720&lt;=Z$615,MATCH($BY720,Z$617:Z$737,0))</f>
        <v>0</v>
      </c>
      <c r="AG720" s="325" t="str">
        <f aca="true">IF(AND(AA720&lt;="",AP113=""),OFFSET(Spells!H$2,AA720,0),"")</f>
        <v>Effect</v>
      </c>
      <c r="AH720" s="325" t="str">
        <f aca="true">IF(AND(AB720&lt;="",AP113=""),OFFSET(Spells!R$2,AB720,0),"")</f>
        <v>Effect</v>
      </c>
      <c r="AI720" s="325" t="str">
        <f aca="true">IF(AND(AC720&lt;="",AP113=""),OFFSET(Spells!AB$2,AC720,0),"")</f>
        <v>Effect</v>
      </c>
      <c r="AJ720" s="326" t="str">
        <f aca="true">IF(AND(AD720&lt;="",AP113=""),OFFSET(Spells!AL$2,AD720,0),"")</f>
        <v>Effect</v>
      </c>
      <c r="AK720" s="326" t="str">
        <f aca="true">IF(AND(AE720&lt;="",AP113=""),OFFSET(Spells!AV$2,AE720,0),"")</f>
        <v>Effect</v>
      </c>
      <c r="AL720" s="325" t="str">
        <f aca="true">IF(AND(AF720&lt;="",AP111=""),OFFSET(Spells!$H$2,AF720,0),"")</f>
        <v>Effect</v>
      </c>
      <c r="AM720" s="56"/>
      <c r="AN720" s="42"/>
      <c r="AO720" s="42"/>
      <c r="AP720" s="42"/>
      <c r="AQ720" s="340"/>
      <c r="AR720" s="327" t="str">
        <f aca="false">T124&amp;IF(Z124&lt;&gt;"","("&amp;Z124&amp;")","")</f>
        <v>Riposte</v>
      </c>
      <c r="AS720" s="112" t="n">
        <f aca="false">X124</f>
        <v>0</v>
      </c>
      <c r="AT720" s="112" t="n">
        <f aca="true">OFFSET(CostSkill,AS720,0)-OFFSET(CostSkill,W124,0)</f>
        <v>0</v>
      </c>
      <c r="AU720" s="112" t="str">
        <f aca="false">Y124</f>
        <v>D</v>
      </c>
      <c r="AV720" s="112" t="n">
        <f aca="false">AV719+IF(AND(AR720&lt;&gt;" ",AS720&gt;0),1,0)</f>
        <v>16</v>
      </c>
      <c r="AW720" s="324"/>
      <c r="BY720" s="333" t="n">
        <f aca="false">BY719+1</f>
        <v>104</v>
      </c>
      <c r="BZ720" s="329" t="n">
        <f aca="false">B300</f>
        <v>0</v>
      </c>
      <c r="CA720" s="112" t="n">
        <f aca="false">F300</f>
        <v>0</v>
      </c>
      <c r="CB720" s="112" t="n">
        <f aca="false">G300</f>
        <v>0</v>
      </c>
      <c r="CC720" s="112" t="n">
        <f aca="false">H300</f>
        <v>0</v>
      </c>
      <c r="CD720" s="329" t="e">
        <f aca="false">FIND(",",BZ720)</f>
        <v>#VALUE!</v>
      </c>
      <c r="CE720" s="329" t="str">
        <f aca="false">IF(ISERROR(CD720),BZ720,MID(BZ720,CD720+2,20)&amp;" "&amp;LEFT(BZ720,CD720-1))&amp;IF(ISERROR(VALUE(CA720)),"",IF(CA720&gt;1," ("&amp;CA720&amp;")",""))</f>
        <v>0</v>
      </c>
      <c r="CF720" s="329" t="n">
        <f aca="false">IF(CC720=" "," ",IF(ISERROR(VALUE(CA720)),CC720,CA720*CC720))</f>
        <v>0</v>
      </c>
      <c r="CG720" s="112" t="n">
        <f aca="false">CG719+IF(AND(BZ720&lt;&gt;0,CA720&lt;&gt;0),1,0)</f>
        <v>20</v>
      </c>
      <c r="CH720" s="112" t="n">
        <f aca="false">IF($BY720&lt;=CH$615,MATCH($BY720,CG$617:CG$863,0))</f>
        <v>0</v>
      </c>
    </row>
    <row r="721" s="32" customFormat="true" ht="12.75" hidden="false" customHeight="false" outlineLevel="0" collapsed="false">
      <c r="B721" s="343"/>
      <c r="D721" s="343"/>
      <c r="U721" s="300" t="n">
        <f aca="false">U720+IF(T407&lt;&gt;"",1,0)</f>
        <v>0</v>
      </c>
      <c r="V721" s="112" t="n">
        <f aca="false">V720+IF(T439&lt;&gt;"",1,0)</f>
        <v>0</v>
      </c>
      <c r="W721" s="112" t="n">
        <f aca="false">W720+IF(T471&lt;&gt;"",1,0)</f>
        <v>0</v>
      </c>
      <c r="X721" s="112" t="n">
        <f aca="false">X720+IF(T503&lt;&gt;"",1,0)</f>
        <v>0</v>
      </c>
      <c r="Y721" s="112" t="n">
        <f aca="false">Y720+IF(T535&lt;&gt;"",1,0)</f>
        <v>0</v>
      </c>
      <c r="Z721" s="324" t="n">
        <f aca="false">Z720+IF($T567&lt;&gt;"",1,0)</f>
        <v>0</v>
      </c>
      <c r="AA721" s="300" t="n">
        <f aca="false">IF($BY721&lt;=U$615,MATCH($BY721,U$617:U$737,0))</f>
        <v>0</v>
      </c>
      <c r="AB721" s="112" t="n">
        <f aca="false">IF($BY721&lt;=V$615,MATCH($BY721,V$617:V$737,0))</f>
        <v>0</v>
      </c>
      <c r="AC721" s="112" t="n">
        <f aca="false">IF($BY721&lt;=W$615,MATCH($BY721,W$617:W$737,0))</f>
        <v>0</v>
      </c>
      <c r="AD721" s="112" t="n">
        <f aca="false">IF($BY721&lt;=X$615,MATCH($BY721,X$617:X$737,0))</f>
        <v>0</v>
      </c>
      <c r="AE721" s="112" t="n">
        <f aca="false">IF($BY721&lt;=Y$615,MATCH($BY721,Y$617:Y$737,0))</f>
        <v>0</v>
      </c>
      <c r="AF721" s="324" t="n">
        <f aca="false">IF($BY721&lt;=Z$615,MATCH($BY721,Z$617:Z$737,0))</f>
        <v>0</v>
      </c>
      <c r="AG721" s="325" t="str">
        <f aca="true">IF(AND(AA721&lt;="",AP114=""),OFFSET(Spells!H$2,AA721,0),"")</f>
        <v>Effect</v>
      </c>
      <c r="AH721" s="325" t="str">
        <f aca="true">IF(AND(AB721&lt;="",AP114=""),OFFSET(Spells!R$2,AB721,0),"")</f>
        <v>Effect</v>
      </c>
      <c r="AI721" s="325" t="str">
        <f aca="true">IF(AND(AC721&lt;="",AP114=""),OFFSET(Spells!AB$2,AC721,0),"")</f>
        <v>Effect</v>
      </c>
      <c r="AJ721" s="326" t="str">
        <f aca="true">IF(AND(AD721&lt;="",AP114=""),OFFSET(Spells!AL$2,AD721,0),"")</f>
        <v>Effect</v>
      </c>
      <c r="AK721" s="326" t="str">
        <f aca="true">IF(AND(AE721&lt;="",AP114=""),OFFSET(Spells!AV$2,AE721,0),"")</f>
        <v>Effect</v>
      </c>
      <c r="AL721" s="325" t="str">
        <f aca="true">IF(AND(AF721&lt;="",AP112=""),OFFSET(Spells!$H$2,AF721,0),"")</f>
        <v>Effect</v>
      </c>
      <c r="AM721" s="56"/>
      <c r="AN721" s="42"/>
      <c r="AO721" s="42"/>
      <c r="AP721" s="42"/>
      <c r="AQ721" s="340"/>
      <c r="AR721" s="327" t="str">
        <f aca="false">T125&amp;IF(Z125&lt;&gt;"","("&amp;Z125&amp;")","")</f>
        <v>Sailing</v>
      </c>
      <c r="AS721" s="112" t="n">
        <f aca="false">X125</f>
        <v>0</v>
      </c>
      <c r="AT721" s="112" t="n">
        <f aca="true">OFFSET(CostSkill,AS721,0)-OFFSET(CostSkill,W125,0)</f>
        <v>0</v>
      </c>
      <c r="AU721" s="112" t="str">
        <f aca="false">Y125</f>
        <v>D</v>
      </c>
      <c r="AV721" s="112" t="n">
        <f aca="false">AV720+IF(AND(AR721&lt;&gt;" ",AS721&gt;0),1,0)</f>
        <v>16</v>
      </c>
      <c r="AW721" s="324"/>
      <c r="BY721" s="333" t="n">
        <f aca="false">BY720+1</f>
        <v>105</v>
      </c>
      <c r="BZ721" s="329" t="n">
        <f aca="false">B301</f>
        <v>0</v>
      </c>
      <c r="CA721" s="112" t="n">
        <f aca="false">F301</f>
        <v>0</v>
      </c>
      <c r="CB721" s="112" t="n">
        <f aca="false">G301</f>
        <v>0</v>
      </c>
      <c r="CC721" s="112" t="n">
        <f aca="false">H301</f>
        <v>0</v>
      </c>
      <c r="CD721" s="329" t="e">
        <f aca="false">FIND(",",BZ721)</f>
        <v>#VALUE!</v>
      </c>
      <c r="CE721" s="329" t="str">
        <f aca="false">IF(ISERROR(CD721),BZ721,MID(BZ721,CD721+2,20)&amp;" "&amp;LEFT(BZ721,CD721-1))&amp;IF(ISERROR(VALUE(CA721)),"",IF(CA721&gt;1," ("&amp;CA721&amp;")",""))</f>
        <v>0</v>
      </c>
      <c r="CF721" s="329" t="n">
        <f aca="false">IF(CC721=" "," ",IF(ISERROR(VALUE(CA721)),CC721,CA721*CC721))</f>
        <v>0</v>
      </c>
      <c r="CG721" s="112" t="n">
        <f aca="false">CG720+IF(AND(BZ721&lt;&gt;0,CA721&lt;&gt;0),1,0)</f>
        <v>20</v>
      </c>
      <c r="CH721" s="112" t="n">
        <f aca="false">IF($BY721&lt;=CH$615,MATCH($BY721,CG$617:CG$863,0))</f>
        <v>0</v>
      </c>
    </row>
    <row r="722" s="32" customFormat="true" ht="12.75" hidden="false" customHeight="false" outlineLevel="0" collapsed="false">
      <c r="B722" s="343"/>
      <c r="D722" s="343"/>
      <c r="U722" s="300" t="n">
        <f aca="false">U721+IF(T408&lt;&gt;"",1,0)</f>
        <v>0</v>
      </c>
      <c r="V722" s="112" t="n">
        <f aca="false">V721+IF(T440&lt;&gt;"",1,0)</f>
        <v>0</v>
      </c>
      <c r="W722" s="112" t="n">
        <f aca="false">W721+IF(T472&lt;&gt;"",1,0)</f>
        <v>0</v>
      </c>
      <c r="X722" s="112" t="n">
        <f aca="false">X721+IF(T504&lt;&gt;"",1,0)</f>
        <v>0</v>
      </c>
      <c r="Y722" s="112" t="n">
        <f aca="false">Y721+IF(T536&lt;&gt;"",1,0)</f>
        <v>0</v>
      </c>
      <c r="Z722" s="324" t="n">
        <f aca="false">Z721+IF($T568&lt;&gt;"",1,0)</f>
        <v>0</v>
      </c>
      <c r="AA722" s="300" t="n">
        <f aca="false">IF($BY722&lt;=U$615,MATCH($BY722,U$617:U$737,0))</f>
        <v>0</v>
      </c>
      <c r="AB722" s="112" t="n">
        <f aca="false">IF($BY722&lt;=V$615,MATCH($BY722,V$617:V$737,0))</f>
        <v>0</v>
      </c>
      <c r="AC722" s="112" t="n">
        <f aca="false">IF($BY722&lt;=W$615,MATCH($BY722,W$617:W$737,0))</f>
        <v>0</v>
      </c>
      <c r="AD722" s="112" t="n">
        <f aca="false">IF($BY722&lt;=X$615,MATCH($BY722,X$617:X$737,0))</f>
        <v>0</v>
      </c>
      <c r="AE722" s="112" t="n">
        <f aca="false">IF($BY722&lt;=Y$615,MATCH($BY722,Y$617:Y$737,0))</f>
        <v>0</v>
      </c>
      <c r="AF722" s="324" t="n">
        <f aca="false">IF($BY722&lt;=Z$615,MATCH($BY722,Z$617:Z$737,0))</f>
        <v>0</v>
      </c>
      <c r="AG722" s="325" t="str">
        <f aca="true">IF(AND(AA722&lt;="",AP115=""),OFFSET(Spells!H$2,AA722,0),"")</f>
        <v>Effect</v>
      </c>
      <c r="AH722" s="325" t="str">
        <f aca="true">IF(AND(AB722&lt;="",AP115=""),OFFSET(Spells!R$2,AB722,0),"")</f>
        <v>Effect</v>
      </c>
      <c r="AI722" s="325" t="str">
        <f aca="true">IF(AND(AC722&lt;="",AP115=""),OFFSET(Spells!AB$2,AC722,0),"")</f>
        <v>Effect</v>
      </c>
      <c r="AJ722" s="326" t="str">
        <f aca="true">IF(AND(AD722&lt;="",AP115=""),OFFSET(Spells!AL$2,AD722,0),"")</f>
        <v>Effect</v>
      </c>
      <c r="AK722" s="326" t="str">
        <f aca="true">IF(AND(AE722&lt;="",AP115=""),OFFSET(Spells!AV$2,AE722,0),"")</f>
        <v>Effect</v>
      </c>
      <c r="AL722" s="325" t="str">
        <f aca="true">IF(AND(AF722&lt;="",AP113=""),OFFSET(Spells!$H$2,AF722,0),"")</f>
        <v>Effect</v>
      </c>
      <c r="AM722" s="56"/>
      <c r="AN722" s="42"/>
      <c r="AO722" s="42"/>
      <c r="AP722" s="42"/>
      <c r="AQ722" s="340"/>
      <c r="AR722" s="327" t="str">
        <f aca="false">T126&amp;IF(Z126&lt;&gt;"","("&amp;Z126&amp;")","")</f>
        <v>Search</v>
      </c>
      <c r="AS722" s="112" t="n">
        <f aca="false">X126</f>
        <v>0</v>
      </c>
      <c r="AT722" s="112" t="n">
        <f aca="true">OFFSET(CostSkill,AS722,0)-OFFSET(CostSkill,W126,0)</f>
        <v>0</v>
      </c>
      <c r="AU722" s="112" t="str">
        <f aca="false">Y126</f>
        <v>P</v>
      </c>
      <c r="AV722" s="112" t="n">
        <f aca="false">AV721+IF(AND(AR722&lt;&gt;" ",AS722&gt;0),1,0)</f>
        <v>16</v>
      </c>
      <c r="AW722" s="324"/>
      <c r="BY722" s="333" t="n">
        <f aca="false">BY721+1</f>
        <v>106</v>
      </c>
      <c r="BZ722" s="329" t="n">
        <f aca="false">B302</f>
        <v>0</v>
      </c>
      <c r="CA722" s="112" t="n">
        <f aca="false">F302</f>
        <v>0</v>
      </c>
      <c r="CB722" s="112" t="n">
        <f aca="false">G302</f>
        <v>0</v>
      </c>
      <c r="CC722" s="112" t="n">
        <f aca="false">H302</f>
        <v>0</v>
      </c>
      <c r="CD722" s="329" t="e">
        <f aca="false">FIND(",",BZ722)</f>
        <v>#VALUE!</v>
      </c>
      <c r="CE722" s="329" t="str">
        <f aca="false">IF(ISERROR(CD722),BZ722,MID(BZ722,CD722+2,20)&amp;" "&amp;LEFT(BZ722,CD722-1))&amp;IF(ISERROR(VALUE(CA722)),"",IF(CA722&gt;1," ("&amp;CA722&amp;")",""))</f>
        <v>0</v>
      </c>
      <c r="CF722" s="329" t="n">
        <f aca="false">IF(CC722=" "," ",IF(ISERROR(VALUE(CA722)),CC722,CA722*CC722))</f>
        <v>0</v>
      </c>
      <c r="CG722" s="112" t="n">
        <f aca="false">CG721+IF(AND(BZ722&lt;&gt;0,CA722&lt;&gt;0),1,0)</f>
        <v>20</v>
      </c>
      <c r="CH722" s="112" t="n">
        <f aca="false">IF($BY722&lt;=CH$615,MATCH($BY722,CG$617:CG$863,0))</f>
        <v>0</v>
      </c>
    </row>
    <row r="723" s="32" customFormat="true" ht="12.75" hidden="false" customHeight="false" outlineLevel="0" collapsed="false">
      <c r="B723" s="343"/>
      <c r="D723" s="343"/>
      <c r="U723" s="300" t="n">
        <f aca="false">U722+IF(T409&lt;&gt;"",1,0)</f>
        <v>0</v>
      </c>
      <c r="V723" s="112" t="n">
        <f aca="false">V722+IF(T441&lt;&gt;"",1,0)</f>
        <v>0</v>
      </c>
      <c r="W723" s="112" t="n">
        <f aca="false">W722+IF(T473&lt;&gt;"",1,0)</f>
        <v>0</v>
      </c>
      <c r="X723" s="112" t="n">
        <f aca="false">X722+IF(T505&lt;&gt;"",1,0)</f>
        <v>0</v>
      </c>
      <c r="Y723" s="112" t="n">
        <f aca="false">Y722+IF(T537&lt;&gt;"",1,0)</f>
        <v>0</v>
      </c>
      <c r="Z723" s="324" t="n">
        <f aca="false">Z722+IF($T569&lt;&gt;"",1,0)</f>
        <v>0</v>
      </c>
      <c r="AA723" s="300" t="n">
        <f aca="false">IF($BY723&lt;=U$615,MATCH($BY723,U$617:U$737,0))</f>
        <v>0</v>
      </c>
      <c r="AB723" s="112" t="n">
        <f aca="false">IF($BY723&lt;=V$615,MATCH($BY723,V$617:V$737,0))</f>
        <v>0</v>
      </c>
      <c r="AC723" s="112" t="n">
        <f aca="false">IF($BY723&lt;=W$615,MATCH($BY723,W$617:W$737,0))</f>
        <v>0</v>
      </c>
      <c r="AD723" s="112" t="n">
        <f aca="false">IF($BY723&lt;=X$615,MATCH($BY723,X$617:X$737,0))</f>
        <v>0</v>
      </c>
      <c r="AE723" s="112" t="n">
        <f aca="false">IF($BY723&lt;=Y$615,MATCH($BY723,Y$617:Y$737,0))</f>
        <v>0</v>
      </c>
      <c r="AF723" s="324" t="n">
        <f aca="false">IF($BY723&lt;=Z$615,MATCH($BY723,Z$617:Z$737,0))</f>
        <v>0</v>
      </c>
      <c r="AG723" s="325" t="str">
        <f aca="true">IF(AND(AA723&lt;="",AP116=""),OFFSET(Spells!H$2,AA723,0),"")</f>
        <v>Effect</v>
      </c>
      <c r="AH723" s="325" t="str">
        <f aca="true">IF(AND(AB723&lt;="",AP116=""),OFFSET(Spells!R$2,AB723,0),"")</f>
        <v>Effect</v>
      </c>
      <c r="AI723" s="325" t="str">
        <f aca="true">IF(AND(AC723&lt;="",AP116=""),OFFSET(Spells!AB$2,AC723,0),"")</f>
        <v>Effect</v>
      </c>
      <c r="AJ723" s="326" t="str">
        <f aca="true">IF(AND(AD723&lt;="",AP116=""),OFFSET(Spells!AL$2,AD723,0),"")</f>
        <v>Effect</v>
      </c>
      <c r="AK723" s="326" t="str">
        <f aca="true">IF(AND(AE723&lt;="",AP116=""),OFFSET(Spells!AV$2,AE723,0),"")</f>
        <v>Effect</v>
      </c>
      <c r="AL723" s="325" t="str">
        <f aca="true">IF(AND(AF723&lt;="",AP114=""),OFFSET(Spells!$H$2,AF723,0),"")</f>
        <v>Effect</v>
      </c>
      <c r="AM723" s="56"/>
      <c r="AN723" s="42"/>
      <c r="AO723" s="42"/>
      <c r="AP723" s="42"/>
      <c r="AQ723" s="340"/>
      <c r="AR723" s="327" t="str">
        <f aca="false">T127&amp;IF(Z127&lt;&gt;"","("&amp;Z127&amp;")","")</f>
        <v>Second Attack</v>
      </c>
      <c r="AS723" s="112" t="n">
        <f aca="false">X127</f>
        <v>0</v>
      </c>
      <c r="AT723" s="112" t="n">
        <f aca="true">OFFSET(CostSkill,AS723,0)-OFFSET(CostSkill,W127,0)</f>
        <v>0</v>
      </c>
      <c r="AU723" s="112" t="str">
        <f aca="false">Y127</f>
        <v>D</v>
      </c>
      <c r="AV723" s="112" t="n">
        <f aca="false">AV722+IF(AND(AR723&lt;&gt;" ",AS723&gt;0),1,0)</f>
        <v>16</v>
      </c>
      <c r="AW723" s="324"/>
      <c r="BY723" s="333" t="n">
        <f aca="false">BY722+1</f>
        <v>107</v>
      </c>
      <c r="BZ723" s="329" t="n">
        <f aca="false">B303</f>
        <v>0</v>
      </c>
      <c r="CA723" s="112" t="n">
        <f aca="false">F303</f>
        <v>0</v>
      </c>
      <c r="CB723" s="112" t="n">
        <f aca="false">G303</f>
        <v>0</v>
      </c>
      <c r="CC723" s="112" t="n">
        <f aca="false">H303</f>
        <v>0</v>
      </c>
      <c r="CD723" s="329" t="e">
        <f aca="false">FIND(",",BZ723)</f>
        <v>#VALUE!</v>
      </c>
      <c r="CE723" s="329" t="str">
        <f aca="false">IF(ISERROR(CD723),BZ723,MID(BZ723,CD723+2,20)&amp;" "&amp;LEFT(BZ723,CD723-1))&amp;IF(ISERROR(VALUE(CA723)),"",IF(CA723&gt;1," ("&amp;CA723&amp;")",""))</f>
        <v>0</v>
      </c>
      <c r="CF723" s="329" t="n">
        <f aca="false">IF(CC723=" "," ",IF(ISERROR(VALUE(CA723)),CC723,CA723*CC723))</f>
        <v>0</v>
      </c>
      <c r="CG723" s="112" t="n">
        <f aca="false">CG722+IF(AND(BZ723&lt;&gt;0,CA723&lt;&gt;0),1,0)</f>
        <v>20</v>
      </c>
      <c r="CH723" s="112" t="n">
        <f aca="false">IF($BY723&lt;=CH$615,MATCH($BY723,CG$617:CG$863,0))</f>
        <v>0</v>
      </c>
    </row>
    <row r="724" s="32" customFormat="true" ht="12.75" hidden="false" customHeight="false" outlineLevel="0" collapsed="false">
      <c r="B724" s="343"/>
      <c r="D724" s="343"/>
      <c r="U724" s="300" t="n">
        <f aca="false">U723+IF(T410&lt;&gt;"",1,0)</f>
        <v>0</v>
      </c>
      <c r="V724" s="112" t="n">
        <f aca="false">V723+IF(T442&lt;&gt;"",1,0)</f>
        <v>0</v>
      </c>
      <c r="W724" s="112" t="n">
        <f aca="false">W723+IF(T474&lt;&gt;"",1,0)</f>
        <v>0</v>
      </c>
      <c r="X724" s="112" t="n">
        <f aca="false">X723+IF(T506&lt;&gt;"",1,0)</f>
        <v>0</v>
      </c>
      <c r="Y724" s="112" t="n">
        <f aca="false">Y723+IF(T538&lt;&gt;"",1,0)</f>
        <v>0</v>
      </c>
      <c r="Z724" s="324" t="n">
        <f aca="false">Z723+IF($T570&lt;&gt;"",1,0)</f>
        <v>0</v>
      </c>
      <c r="AA724" s="300" t="n">
        <f aca="false">IF($BY724&lt;=U$615,MATCH($BY724,U$617:U$737,0))</f>
        <v>0</v>
      </c>
      <c r="AB724" s="112" t="n">
        <f aca="false">IF($BY724&lt;=V$615,MATCH($BY724,V$617:V$737,0))</f>
        <v>0</v>
      </c>
      <c r="AC724" s="112" t="n">
        <f aca="false">IF($BY724&lt;=W$615,MATCH($BY724,W$617:W$737,0))</f>
        <v>0</v>
      </c>
      <c r="AD724" s="112" t="n">
        <f aca="false">IF($BY724&lt;=X$615,MATCH($BY724,X$617:X$737,0))</f>
        <v>0</v>
      </c>
      <c r="AE724" s="112" t="n">
        <f aca="false">IF($BY724&lt;=Y$615,MATCH($BY724,Y$617:Y$737,0))</f>
        <v>0</v>
      </c>
      <c r="AF724" s="324" t="n">
        <f aca="false">IF($BY724&lt;=Z$615,MATCH($BY724,Z$617:Z$737,0))</f>
        <v>0</v>
      </c>
      <c r="AG724" s="325" t="str">
        <f aca="true">IF(AND(AA724&lt;="",AP117=""),OFFSET(Spells!H$2,AA724,0),"")</f>
        <v>Effect</v>
      </c>
      <c r="AH724" s="325" t="str">
        <f aca="true">IF(AND(AB724&lt;="",AP117=""),OFFSET(Spells!R$2,AB724,0),"")</f>
        <v>Effect</v>
      </c>
      <c r="AI724" s="325" t="str">
        <f aca="true">IF(AND(AC724&lt;="",AP117=""),OFFSET(Spells!AB$2,AC724,0),"")</f>
        <v>Effect</v>
      </c>
      <c r="AJ724" s="326" t="str">
        <f aca="true">IF(AND(AD724&lt;="",AP117=""),OFFSET(Spells!AL$2,AD724,0),"")</f>
        <v>Effect</v>
      </c>
      <c r="AK724" s="326" t="str">
        <f aca="true">IF(AND(AE724&lt;="",AP117=""),OFFSET(Spells!AV$2,AE724,0),"")</f>
        <v>Effect</v>
      </c>
      <c r="AL724" s="325" t="str">
        <f aca="true">IF(AND(AF724&lt;="",AP115=""),OFFSET(Spells!$H$2,AF724,0),"")</f>
        <v>Effect</v>
      </c>
      <c r="AM724" s="56"/>
      <c r="AN724" s="42"/>
      <c r="AO724" s="42"/>
      <c r="AP724" s="42"/>
      <c r="AQ724" s="340"/>
      <c r="AR724" s="327" t="str">
        <f aca="false">T128&amp;IF(Z128&lt;&gt;"","("&amp;Z128&amp;")","")</f>
        <v>Second Shot</v>
      </c>
      <c r="AS724" s="112" t="n">
        <f aca="false">X128</f>
        <v>0</v>
      </c>
      <c r="AT724" s="112" t="n">
        <f aca="true">OFFSET(CostSkill,AS724,0)-OFFSET(CostSkill,W128,0)</f>
        <v>0</v>
      </c>
      <c r="AU724" s="112" t="str">
        <f aca="false">Y128</f>
        <v>D</v>
      </c>
      <c r="AV724" s="112" t="n">
        <f aca="false">AV723+IF(AND(AR724&lt;&gt;" ",AS724&gt;0),1,0)</f>
        <v>16</v>
      </c>
      <c r="AW724" s="324"/>
      <c r="BY724" s="333" t="n">
        <f aca="false">BY723+1</f>
        <v>108</v>
      </c>
      <c r="BZ724" s="329" t="n">
        <f aca="false">B304</f>
        <v>0</v>
      </c>
      <c r="CA724" s="112" t="n">
        <f aca="false">F304</f>
        <v>0</v>
      </c>
      <c r="CB724" s="112" t="n">
        <f aca="false">G304</f>
        <v>0</v>
      </c>
      <c r="CC724" s="112" t="n">
        <f aca="false">H304</f>
        <v>0</v>
      </c>
      <c r="CD724" s="329" t="e">
        <f aca="false">FIND(",",BZ724)</f>
        <v>#VALUE!</v>
      </c>
      <c r="CE724" s="329" t="str">
        <f aca="false">IF(ISERROR(CD724),BZ724,MID(BZ724,CD724+2,20)&amp;" "&amp;LEFT(BZ724,CD724-1))&amp;IF(ISERROR(VALUE(CA724)),"",IF(CA724&gt;1," ("&amp;CA724&amp;")",""))</f>
        <v>0</v>
      </c>
      <c r="CF724" s="329" t="n">
        <f aca="false">IF(CC724=" "," ",IF(ISERROR(VALUE(CA724)),CC724,CA724*CC724))</f>
        <v>0</v>
      </c>
      <c r="CG724" s="112" t="n">
        <f aca="false">CG723+IF(AND(BZ724&lt;&gt;0,CA724&lt;&gt;0),1,0)</f>
        <v>20</v>
      </c>
      <c r="CH724" s="112" t="n">
        <f aca="false">IF($BY724&lt;=CH$615,MATCH($BY724,CG$617:CG$863,0))</f>
        <v>0</v>
      </c>
    </row>
    <row r="725" s="32" customFormat="true" ht="12.75" hidden="false" customHeight="false" outlineLevel="0" collapsed="false">
      <c r="B725" s="343"/>
      <c r="D725" s="343"/>
      <c r="U725" s="300" t="n">
        <f aca="false">U724+IF(T411&lt;&gt;"",1,0)</f>
        <v>0</v>
      </c>
      <c r="V725" s="112" t="n">
        <f aca="false">V724+IF(T443&lt;&gt;"",1,0)</f>
        <v>0</v>
      </c>
      <c r="W725" s="112" t="n">
        <f aca="false">W724+IF(T475&lt;&gt;"",1,0)</f>
        <v>0</v>
      </c>
      <c r="X725" s="112" t="n">
        <f aca="false">X724+IF(T507&lt;&gt;"",1,0)</f>
        <v>0</v>
      </c>
      <c r="Y725" s="112" t="n">
        <f aca="false">Y724+IF(T539&lt;&gt;"",1,0)</f>
        <v>0</v>
      </c>
      <c r="Z725" s="324" t="n">
        <f aca="false">Z724+IF($T571&lt;&gt;"",1,0)</f>
        <v>0</v>
      </c>
      <c r="AA725" s="300" t="n">
        <f aca="false">IF($BY725&lt;=U$615,MATCH($BY725,U$617:U$737,0))</f>
        <v>0</v>
      </c>
      <c r="AB725" s="112" t="n">
        <f aca="false">IF($BY725&lt;=V$615,MATCH($BY725,V$617:V$737,0))</f>
        <v>0</v>
      </c>
      <c r="AC725" s="112" t="n">
        <f aca="false">IF($BY725&lt;=W$615,MATCH($BY725,W$617:W$737,0))</f>
        <v>0</v>
      </c>
      <c r="AD725" s="112" t="n">
        <f aca="false">IF($BY725&lt;=X$615,MATCH($BY725,X$617:X$737,0))</f>
        <v>0</v>
      </c>
      <c r="AE725" s="112" t="n">
        <f aca="false">IF($BY725&lt;=Y$615,MATCH($BY725,Y$617:Y$737,0))</f>
        <v>0</v>
      </c>
      <c r="AF725" s="324" t="n">
        <f aca="false">IF($BY725&lt;=Z$615,MATCH($BY725,Z$617:Z$737,0))</f>
        <v>0</v>
      </c>
      <c r="AG725" s="325" t="str">
        <f aca="true">IF(AND(AA725&lt;="",AP118=""),OFFSET(Spells!H$2,AA725,0),"")</f>
        <v>Effect</v>
      </c>
      <c r="AH725" s="325" t="str">
        <f aca="true">IF(AND(AB725&lt;="",AP118=""),OFFSET(Spells!R$2,AB725,0),"")</f>
        <v>Effect</v>
      </c>
      <c r="AI725" s="325" t="str">
        <f aca="true">IF(AND(AC725&lt;="",AP118=""),OFFSET(Spells!AB$2,AC725,0),"")</f>
        <v>Effect</v>
      </c>
      <c r="AJ725" s="326" t="str">
        <f aca="true">IF(AND(AD725&lt;="",AP118=""),OFFSET(Spells!AL$2,AD725,0),"")</f>
        <v>Effect</v>
      </c>
      <c r="AK725" s="326" t="str">
        <f aca="true">IF(AND(AE725&lt;="",AP118=""),OFFSET(Spells!AV$2,AE725,0),"")</f>
        <v>Effect</v>
      </c>
      <c r="AL725" s="325" t="str">
        <f aca="true">IF(AND(AF725&lt;="",AP116=""),OFFSET(Spells!$H$2,AF725,0),"")</f>
        <v>Effect</v>
      </c>
      <c r="AM725" s="56"/>
      <c r="AN725" s="42"/>
      <c r="AO725" s="42"/>
      <c r="AP725" s="42"/>
      <c r="AQ725" s="340"/>
      <c r="AR725" s="327" t="str">
        <f aca="false">T129&amp;IF(Z129&lt;&gt;"","("&amp;Z129&amp;")","")</f>
        <v>Second Weapon</v>
      </c>
      <c r="AS725" s="112" t="n">
        <f aca="false">X129</f>
        <v>0</v>
      </c>
      <c r="AT725" s="112" t="n">
        <f aca="true">OFFSET(CostSkill,AS725,0)-OFFSET(CostSkill,W129,0)</f>
        <v>0</v>
      </c>
      <c r="AU725" s="112" t="str">
        <f aca="false">Y129</f>
        <v>D</v>
      </c>
      <c r="AV725" s="112" t="n">
        <f aca="false">AV724+IF(AND(AR725&lt;&gt;" ",AS725&gt;0),1,0)</f>
        <v>16</v>
      </c>
      <c r="AW725" s="324"/>
      <c r="BY725" s="333" t="n">
        <f aca="false">BY724+1</f>
        <v>109</v>
      </c>
      <c r="BZ725" s="329" t="n">
        <f aca="false">B305</f>
        <v>0</v>
      </c>
      <c r="CA725" s="112" t="n">
        <f aca="false">F305</f>
        <v>0</v>
      </c>
      <c r="CB725" s="112" t="n">
        <f aca="false">G305</f>
        <v>0</v>
      </c>
      <c r="CC725" s="112" t="n">
        <f aca="false">H305</f>
        <v>0</v>
      </c>
      <c r="CD725" s="329" t="e">
        <f aca="false">FIND(",",BZ725)</f>
        <v>#VALUE!</v>
      </c>
      <c r="CE725" s="329" t="str">
        <f aca="false">IF(ISERROR(CD725),BZ725,MID(BZ725,CD725+2,20)&amp;" "&amp;LEFT(BZ725,CD725-1))&amp;IF(ISERROR(VALUE(CA725)),"",IF(CA725&gt;1," ("&amp;CA725&amp;")",""))</f>
        <v>0</v>
      </c>
      <c r="CF725" s="329" t="n">
        <f aca="false">IF(CC725=" "," ",IF(ISERROR(VALUE(CA725)),CC725,CA725*CC725))</f>
        <v>0</v>
      </c>
      <c r="CG725" s="112" t="n">
        <f aca="false">CG724+IF(AND(BZ725&lt;&gt;0,CA725&lt;&gt;0),1,0)</f>
        <v>20</v>
      </c>
      <c r="CH725" s="112" t="n">
        <f aca="false">IF($BY725&lt;=CH$615,MATCH($BY725,CG$617:CG$863,0))</f>
        <v>0</v>
      </c>
    </row>
    <row r="726" s="32" customFormat="true" ht="12.75" hidden="false" customHeight="false" outlineLevel="0" collapsed="false">
      <c r="B726" s="343"/>
      <c r="D726" s="343"/>
      <c r="U726" s="300" t="n">
        <f aca="false">U725+IF(T412&lt;&gt;"",1,0)</f>
        <v>0</v>
      </c>
      <c r="V726" s="112" t="n">
        <f aca="false">V725+IF(T444&lt;&gt;"",1,0)</f>
        <v>0</v>
      </c>
      <c r="W726" s="112" t="n">
        <f aca="false">W725+IF(T476&lt;&gt;"",1,0)</f>
        <v>0</v>
      </c>
      <c r="X726" s="112" t="n">
        <f aca="false">X725+IF(T508&lt;&gt;"",1,0)</f>
        <v>0</v>
      </c>
      <c r="Y726" s="112" t="n">
        <f aca="false">Y725+IF(T540&lt;&gt;"",1,0)</f>
        <v>0</v>
      </c>
      <c r="Z726" s="324" t="n">
        <f aca="false">Z725+IF($T572&lt;&gt;"",1,0)</f>
        <v>0</v>
      </c>
      <c r="AA726" s="300" t="n">
        <f aca="false">IF($BY726&lt;=U$615,MATCH($BY726,U$617:U$737,0))</f>
        <v>0</v>
      </c>
      <c r="AB726" s="112" t="n">
        <f aca="false">IF($BY726&lt;=V$615,MATCH($BY726,V$617:V$737,0))</f>
        <v>0</v>
      </c>
      <c r="AC726" s="112" t="n">
        <f aca="false">IF($BY726&lt;=W$615,MATCH($BY726,W$617:W$737,0))</f>
        <v>0</v>
      </c>
      <c r="AD726" s="112" t="n">
        <f aca="false">IF($BY726&lt;=X$615,MATCH($BY726,X$617:X$737,0))</f>
        <v>0</v>
      </c>
      <c r="AE726" s="112" t="n">
        <f aca="false">IF($BY726&lt;=Y$615,MATCH($BY726,Y$617:Y$737,0))</f>
        <v>0</v>
      </c>
      <c r="AF726" s="324" t="n">
        <f aca="false">IF($BY726&lt;=Z$615,MATCH($BY726,Z$617:Z$737,0))</f>
        <v>0</v>
      </c>
      <c r="AG726" s="325" t="str">
        <f aca="true">IF(AND(AA726&lt;="",AP119=""),OFFSET(Spells!H$2,AA726,0),"")</f>
        <v>Effect</v>
      </c>
      <c r="AH726" s="325" t="str">
        <f aca="true">IF(AND(AB726&lt;="",AP119=""),OFFSET(Spells!R$2,AB726,0),"")</f>
        <v>Effect</v>
      </c>
      <c r="AI726" s="325" t="str">
        <f aca="true">IF(AND(AC726&lt;="",AP119=""),OFFSET(Spells!AB$2,AC726,0),"")</f>
        <v>Effect</v>
      </c>
      <c r="AJ726" s="326" t="str">
        <f aca="true">IF(AND(AD726&lt;="",AP119=""),OFFSET(Spells!AL$2,AD726,0),"")</f>
        <v>Effect</v>
      </c>
      <c r="AK726" s="326" t="str">
        <f aca="true">IF(AND(AE726&lt;="",AP119=""),OFFSET(Spells!AV$2,AE726,0),"")</f>
        <v>Effect</v>
      </c>
      <c r="AL726" s="325" t="str">
        <f aca="true">IF(AND(AF726&lt;="",AP117=""),OFFSET(Spells!$H$2,AF726,0),"")</f>
        <v>Effect</v>
      </c>
      <c r="AM726" s="56"/>
      <c r="AN726" s="42"/>
      <c r="AO726" s="42"/>
      <c r="AP726" s="42"/>
      <c r="AQ726" s="340"/>
      <c r="AR726" s="327" t="str">
        <f aca="false">T130&amp;IF(Z130&lt;&gt;"","("&amp;Z130&amp;")","")</f>
        <v>Seduction</v>
      </c>
      <c r="AS726" s="112" t="n">
        <f aca="false">X130</f>
        <v>0</v>
      </c>
      <c r="AT726" s="112" t="n">
        <f aca="true">OFFSET(CostSkill,AS726,0)-OFFSET(CostSkill,W130,0)</f>
        <v>0</v>
      </c>
      <c r="AU726" s="112" t="str">
        <f aca="false">Y130</f>
        <v>C</v>
      </c>
      <c r="AV726" s="112" t="n">
        <f aca="false">AV725+IF(AND(AR726&lt;&gt;" ",AS726&gt;0),1,0)</f>
        <v>16</v>
      </c>
      <c r="AW726" s="324"/>
      <c r="BY726" s="333" t="n">
        <f aca="false">BY725+1</f>
        <v>110</v>
      </c>
      <c r="BZ726" s="329" t="n">
        <f aca="false">B306</f>
        <v>0</v>
      </c>
      <c r="CA726" s="112" t="n">
        <f aca="false">F306</f>
        <v>0</v>
      </c>
      <c r="CB726" s="112" t="n">
        <f aca="false">G306</f>
        <v>0</v>
      </c>
      <c r="CC726" s="112" t="n">
        <f aca="false">H306</f>
        <v>0</v>
      </c>
      <c r="CD726" s="329" t="e">
        <f aca="false">FIND(",",BZ726)</f>
        <v>#VALUE!</v>
      </c>
      <c r="CE726" s="329" t="str">
        <f aca="false">IF(ISERROR(CD726),BZ726,MID(BZ726,CD726+2,20)&amp;" "&amp;LEFT(BZ726,CD726-1))&amp;IF(ISERROR(VALUE(CA726)),"",IF(CA726&gt;1," ("&amp;CA726&amp;")",""))</f>
        <v>0</v>
      </c>
      <c r="CF726" s="329" t="n">
        <f aca="false">IF(CC726=" "," ",IF(ISERROR(VALUE(CA726)),CC726,CA726*CC726))</f>
        <v>0</v>
      </c>
      <c r="CG726" s="112" t="n">
        <f aca="false">CG725+IF(AND(BZ726&lt;&gt;0,CA726&lt;&gt;0),1,0)</f>
        <v>20</v>
      </c>
      <c r="CH726" s="112" t="n">
        <f aca="false">IF($BY726&lt;=CH$615,MATCH($BY726,CG$617:CG$863,0))</f>
        <v>0</v>
      </c>
    </row>
    <row r="727" s="32" customFormat="true" ht="12.75" hidden="false" customHeight="false" outlineLevel="0" collapsed="false">
      <c r="B727" s="343"/>
      <c r="D727" s="343"/>
      <c r="U727" s="300" t="n">
        <f aca="false">U726+IF(T413&lt;&gt;"",1,0)</f>
        <v>0</v>
      </c>
      <c r="V727" s="112" t="n">
        <f aca="false">V726+IF(T445&lt;&gt;"",1,0)</f>
        <v>0</v>
      </c>
      <c r="W727" s="112" t="n">
        <f aca="false">W726+IF(T477&lt;&gt;"",1,0)</f>
        <v>0</v>
      </c>
      <c r="X727" s="112" t="n">
        <f aca="false">X726+IF(T509&lt;&gt;"",1,0)</f>
        <v>0</v>
      </c>
      <c r="Y727" s="112" t="n">
        <f aca="false">Y726+IF(T541&lt;&gt;"",1,0)</f>
        <v>0</v>
      </c>
      <c r="Z727" s="324" t="n">
        <f aca="false">Z726+IF($T573&lt;&gt;"",1,0)</f>
        <v>0</v>
      </c>
      <c r="AA727" s="300" t="n">
        <f aca="false">IF($BY727&lt;=U$615,MATCH($BY727,U$617:U$737,0))</f>
        <v>0</v>
      </c>
      <c r="AB727" s="112" t="n">
        <f aca="false">IF($BY727&lt;=V$615,MATCH($BY727,V$617:V$737,0))</f>
        <v>0</v>
      </c>
      <c r="AC727" s="112" t="n">
        <f aca="false">IF($BY727&lt;=W$615,MATCH($BY727,W$617:W$737,0))</f>
        <v>0</v>
      </c>
      <c r="AD727" s="112" t="n">
        <f aca="false">IF($BY727&lt;=X$615,MATCH($BY727,X$617:X$737,0))</f>
        <v>0</v>
      </c>
      <c r="AE727" s="112" t="n">
        <f aca="false">IF($BY727&lt;=Y$615,MATCH($BY727,Y$617:Y$737,0))</f>
        <v>0</v>
      </c>
      <c r="AF727" s="324" t="n">
        <f aca="false">IF($BY727&lt;=Z$615,MATCH($BY727,Z$617:Z$737,0))</f>
        <v>0</v>
      </c>
      <c r="AG727" s="325" t="str">
        <f aca="true">IF(AND(AA727&lt;="",AP120=""),OFFSET(Spells!H$2,AA727,0),"")</f>
        <v>Effect</v>
      </c>
      <c r="AH727" s="325" t="str">
        <f aca="true">IF(AND(AB727&lt;="",AP120=""),OFFSET(Spells!R$2,AB727,0),"")</f>
        <v>Effect</v>
      </c>
      <c r="AI727" s="325" t="str">
        <f aca="true">IF(AND(AC727&lt;="",AP120=""),OFFSET(Spells!AB$2,AC727,0),"")</f>
        <v>Effect</v>
      </c>
      <c r="AJ727" s="326" t="str">
        <f aca="true">IF(AND(AD727&lt;="",AP120=""),OFFSET(Spells!AL$2,AD727,0),"")</f>
        <v>Effect</v>
      </c>
      <c r="AK727" s="326" t="str">
        <f aca="true">IF(AND(AE727&lt;="",AP120=""),OFFSET(Spells!AV$2,AE727,0),"")</f>
        <v>Effect</v>
      </c>
      <c r="AL727" s="325" t="str">
        <f aca="true">IF(AND(AF727&lt;="",AP118=""),OFFSET(Spells!$H$2,AF727,0),"")</f>
        <v>Effect</v>
      </c>
      <c r="AM727" s="56"/>
      <c r="AN727" s="42"/>
      <c r="AO727" s="42"/>
      <c r="AP727" s="42"/>
      <c r="AQ727" s="340"/>
      <c r="AR727" s="327" t="str">
        <f aca="false">T131&amp;IF(Z131&lt;&gt;"","("&amp;Z131&amp;")","")</f>
        <v>Shield Charge</v>
      </c>
      <c r="AS727" s="112" t="n">
        <f aca="false">X131</f>
        <v>0</v>
      </c>
      <c r="AT727" s="112" t="n">
        <f aca="true">OFFSET(CostSkill,AS727,0)-OFFSET(CostSkill,W131,0)</f>
        <v>0</v>
      </c>
      <c r="AU727" s="112" t="str">
        <f aca="false">Y131</f>
        <v>S</v>
      </c>
      <c r="AV727" s="112" t="n">
        <f aca="false">AV726+IF(AND(AR727&lt;&gt;" ",AS727&gt;0),1,0)</f>
        <v>16</v>
      </c>
      <c r="AW727" s="324"/>
      <c r="BY727" s="333" t="n">
        <f aca="false">BY726+1</f>
        <v>111</v>
      </c>
      <c r="BZ727" s="329" t="n">
        <f aca="false">B307</f>
        <v>0</v>
      </c>
      <c r="CA727" s="112" t="n">
        <f aca="false">F307</f>
        <v>0</v>
      </c>
      <c r="CB727" s="112" t="n">
        <f aca="false">G307</f>
        <v>0</v>
      </c>
      <c r="CC727" s="112" t="n">
        <f aca="false">H307</f>
        <v>0</v>
      </c>
      <c r="CD727" s="329" t="e">
        <f aca="false">FIND(",",BZ727)</f>
        <v>#VALUE!</v>
      </c>
      <c r="CE727" s="329" t="str">
        <f aca="false">IF(ISERROR(CD727),BZ727,MID(BZ727,CD727+2,20)&amp;" "&amp;LEFT(BZ727,CD727-1))&amp;IF(ISERROR(VALUE(CA727)),"",IF(CA727&gt;1," ("&amp;CA727&amp;")",""))</f>
        <v>0</v>
      </c>
      <c r="CF727" s="329" t="n">
        <f aca="false">IF(CC727=" "," ",IF(ISERROR(VALUE(CA727)),CC727,CA727*CC727))</f>
        <v>0</v>
      </c>
      <c r="CG727" s="112" t="n">
        <f aca="false">CG726+IF(AND(BZ727&lt;&gt;0,CA727&lt;&gt;0),1,0)</f>
        <v>20</v>
      </c>
      <c r="CH727" s="112" t="n">
        <f aca="false">IF($BY727&lt;=CH$615,MATCH($BY727,CG$617:CG$863,0))</f>
        <v>0</v>
      </c>
    </row>
    <row r="728" s="32" customFormat="true" ht="12.75" hidden="false" customHeight="false" outlineLevel="0" collapsed="false">
      <c r="B728" s="343"/>
      <c r="D728" s="343"/>
      <c r="U728" s="300" t="n">
        <f aca="false">U727+IF(T414&lt;&gt;"",1,0)</f>
        <v>0</v>
      </c>
      <c r="V728" s="112" t="n">
        <f aca="false">V727+IF(T446&lt;&gt;"",1,0)</f>
        <v>0</v>
      </c>
      <c r="W728" s="112" t="n">
        <f aca="false">W727+IF(T478&lt;&gt;"",1,0)</f>
        <v>0</v>
      </c>
      <c r="X728" s="112" t="n">
        <f aca="false">X727+IF(T510&lt;&gt;"",1,0)</f>
        <v>0</v>
      </c>
      <c r="Y728" s="112" t="n">
        <f aca="false">Y727+IF(T542&lt;&gt;"",1,0)</f>
        <v>0</v>
      </c>
      <c r="Z728" s="324" t="n">
        <f aca="false">Z727+IF($T574&lt;&gt;"",1,0)</f>
        <v>0</v>
      </c>
      <c r="AA728" s="300" t="n">
        <f aca="false">IF($BY728&lt;=U$615,MATCH($BY728,U$617:U$737,0))</f>
        <v>0</v>
      </c>
      <c r="AB728" s="112" t="n">
        <f aca="false">IF($BY728&lt;=V$615,MATCH($BY728,V$617:V$737,0))</f>
        <v>0</v>
      </c>
      <c r="AC728" s="112" t="n">
        <f aca="false">IF($BY728&lt;=W$615,MATCH($BY728,W$617:W$737,0))</f>
        <v>0</v>
      </c>
      <c r="AD728" s="112" t="n">
        <f aca="false">IF($BY728&lt;=X$615,MATCH($BY728,X$617:X$737,0))</f>
        <v>0</v>
      </c>
      <c r="AE728" s="112" t="n">
        <f aca="false">IF($BY728&lt;=Y$615,MATCH($BY728,Y$617:Y$737,0))</f>
        <v>0</v>
      </c>
      <c r="AF728" s="324" t="n">
        <f aca="false">IF($BY728&lt;=Z$615,MATCH($BY728,Z$617:Z$737,0))</f>
        <v>0</v>
      </c>
      <c r="AG728" s="325" t="str">
        <f aca="true">IF(AND(AA728&lt;="",AP121=""),OFFSET(Spells!H$2,AA728,0),"")</f>
        <v>Effect</v>
      </c>
      <c r="AH728" s="325" t="str">
        <f aca="true">IF(AND(AB728&lt;="",AP121=""),OFFSET(Spells!R$2,AB728,0),"")</f>
        <v>Effect</v>
      </c>
      <c r="AI728" s="325" t="str">
        <f aca="true">IF(AND(AC728&lt;="",AP121=""),OFFSET(Spells!AB$2,AC728,0),"")</f>
        <v>Effect</v>
      </c>
      <c r="AJ728" s="326" t="str">
        <f aca="true">IF(AND(AD728&lt;="",AP121=""),OFFSET(Spells!AL$2,AD728,0),"")</f>
        <v>Effect</v>
      </c>
      <c r="AK728" s="326" t="str">
        <f aca="true">IF(AND(AE728&lt;="",AP121=""),OFFSET(Spells!AV$2,AE728,0),"")</f>
        <v>Effect</v>
      </c>
      <c r="AL728" s="325" t="str">
        <f aca="true">IF(AND(AF728&lt;="",AP119=""),OFFSET(Spells!$H$2,AF728,0),"")</f>
        <v>Effect</v>
      </c>
      <c r="AM728" s="56"/>
      <c r="AN728" s="42"/>
      <c r="AO728" s="42"/>
      <c r="AP728" s="42"/>
      <c r="AQ728" s="340"/>
      <c r="AR728" s="327" t="str">
        <f aca="false">T132&amp;IF(Z132&lt;&gt;"","("&amp;Z132&amp;")","")</f>
        <v>Silent Walk</v>
      </c>
      <c r="AS728" s="112" t="n">
        <f aca="false">X132</f>
        <v>0</v>
      </c>
      <c r="AT728" s="112" t="n">
        <f aca="true">OFFSET(CostSkill,AS728,0)-OFFSET(CostSkill,W132,0)</f>
        <v>0</v>
      </c>
      <c r="AU728" s="112" t="str">
        <f aca="false">Y132</f>
        <v>D</v>
      </c>
      <c r="AV728" s="112" t="n">
        <f aca="false">AV727+IF(AND(AR728&lt;&gt;" ",AS728&gt;0),1,0)</f>
        <v>16</v>
      </c>
      <c r="AW728" s="324"/>
      <c r="BY728" s="333" t="n">
        <f aca="false">BY727+1</f>
        <v>112</v>
      </c>
      <c r="BZ728" s="329" t="n">
        <f aca="false">B308</f>
        <v>0</v>
      </c>
      <c r="CA728" s="112" t="n">
        <f aca="false">F308</f>
        <v>0</v>
      </c>
      <c r="CB728" s="112" t="n">
        <f aca="false">G308</f>
        <v>0</v>
      </c>
      <c r="CC728" s="112" t="n">
        <f aca="false">H308</f>
        <v>0</v>
      </c>
      <c r="CD728" s="329" t="e">
        <f aca="false">FIND(",",BZ728)</f>
        <v>#VALUE!</v>
      </c>
      <c r="CE728" s="329" t="str">
        <f aca="false">IF(ISERROR(CD728),BZ728,MID(BZ728,CD728+2,20)&amp;" "&amp;LEFT(BZ728,CD728-1))&amp;IF(ISERROR(VALUE(CA728)),"",IF(CA728&gt;1," ("&amp;CA728&amp;")",""))</f>
        <v>0</v>
      </c>
      <c r="CF728" s="329" t="n">
        <f aca="false">IF(CC728=" "," ",IF(ISERROR(VALUE(CA728)),CC728,CA728*CC728))</f>
        <v>0</v>
      </c>
      <c r="CG728" s="112" t="n">
        <f aca="false">CG727+IF(AND(BZ728&lt;&gt;0,CA728&lt;&gt;0),1,0)</f>
        <v>20</v>
      </c>
      <c r="CH728" s="112" t="n">
        <f aca="false">IF($BY728&lt;=CH$615,MATCH($BY728,CG$617:CG$863,0))</f>
        <v>0</v>
      </c>
    </row>
    <row r="729" s="32" customFormat="true" ht="12.75" hidden="false" customHeight="false" outlineLevel="0" collapsed="false">
      <c r="B729" s="343"/>
      <c r="D729" s="343"/>
      <c r="U729" s="300" t="n">
        <f aca="false">U728+IF(T415&lt;&gt;"",1,0)</f>
        <v>0</v>
      </c>
      <c r="V729" s="112" t="n">
        <f aca="false">V728+IF(T447&lt;&gt;"",1,0)</f>
        <v>0</v>
      </c>
      <c r="W729" s="112" t="n">
        <f aca="false">W728+IF(T479&lt;&gt;"",1,0)</f>
        <v>0</v>
      </c>
      <c r="X729" s="112" t="n">
        <f aca="false">X728+IF(T511&lt;&gt;"",1,0)</f>
        <v>0</v>
      </c>
      <c r="Y729" s="112" t="n">
        <f aca="false">Y728+IF(T543&lt;&gt;"",1,0)</f>
        <v>0</v>
      </c>
      <c r="Z729" s="324" t="n">
        <f aca="false">Z728+IF($T575&lt;&gt;"",1,0)</f>
        <v>0</v>
      </c>
      <c r="AA729" s="300" t="n">
        <f aca="false">IF($BY729&lt;=U$615,MATCH($BY729,U$617:U$737,0))</f>
        <v>0</v>
      </c>
      <c r="AB729" s="112" t="n">
        <f aca="false">IF($BY729&lt;=V$615,MATCH($BY729,V$617:V$737,0))</f>
        <v>0</v>
      </c>
      <c r="AC729" s="112" t="n">
        <f aca="false">IF($BY729&lt;=W$615,MATCH($BY729,W$617:W$737,0))</f>
        <v>0</v>
      </c>
      <c r="AD729" s="112" t="n">
        <f aca="false">IF($BY729&lt;=X$615,MATCH($BY729,X$617:X$737,0))</f>
        <v>0</v>
      </c>
      <c r="AE729" s="112" t="n">
        <f aca="false">IF($BY729&lt;=Y$615,MATCH($BY729,Y$617:Y$737,0))</f>
        <v>0</v>
      </c>
      <c r="AF729" s="324" t="n">
        <f aca="false">IF($BY729&lt;=Z$615,MATCH($BY729,Z$617:Z$737,0))</f>
        <v>0</v>
      </c>
      <c r="AG729" s="325" t="str">
        <f aca="true">IF(AND(AA729&lt;="",AP122=""),OFFSET(Spells!H$2,AA729,0),"")</f>
        <v>Effect</v>
      </c>
      <c r="AH729" s="325" t="str">
        <f aca="true">IF(AND(AB729&lt;="",AP122=""),OFFSET(Spells!R$2,AB729,0),"")</f>
        <v>Effect</v>
      </c>
      <c r="AI729" s="325" t="str">
        <f aca="true">IF(AND(AC729&lt;="",AP122=""),OFFSET(Spells!AB$2,AC729,0),"")</f>
        <v>Effect</v>
      </c>
      <c r="AJ729" s="326" t="str">
        <f aca="true">IF(AND(AD729&lt;="",AP122=""),OFFSET(Spells!AL$2,AD729,0),"")</f>
        <v>Effect</v>
      </c>
      <c r="AK729" s="326" t="str">
        <f aca="true">IF(AND(AE729&lt;="",AP122=""),OFFSET(Spells!AV$2,AE729,0),"")</f>
        <v>Effect</v>
      </c>
      <c r="AL729" s="325" t="str">
        <f aca="true">IF(AND(AF729&lt;="",AP120=""),OFFSET(Spells!$H$2,AF729,0),"")</f>
        <v>Effect</v>
      </c>
      <c r="AM729" s="56"/>
      <c r="AN729" s="42"/>
      <c r="AO729" s="42"/>
      <c r="AP729" s="42"/>
      <c r="AQ729" s="340"/>
      <c r="AR729" s="327" t="str">
        <f aca="false">T133&amp;IF(Z133&lt;&gt;"","("&amp;Z133&amp;")","")</f>
        <v>Slough Blame</v>
      </c>
      <c r="AS729" s="112" t="n">
        <f aca="false">X133</f>
        <v>0</v>
      </c>
      <c r="AT729" s="112" t="n">
        <f aca="true">OFFSET(CostSkill,AS729,0)-OFFSET(CostSkill,W133,0)</f>
        <v>0</v>
      </c>
      <c r="AU729" s="112" t="str">
        <f aca="false">Y133</f>
        <v>C</v>
      </c>
      <c r="AV729" s="112" t="n">
        <f aca="false">AV728+IF(AND(AR729&lt;&gt;" ",AS729&gt;0),1,0)</f>
        <v>16</v>
      </c>
      <c r="AW729" s="324"/>
      <c r="BY729" s="333" t="n">
        <f aca="false">BY728+1</f>
        <v>113</v>
      </c>
      <c r="BZ729" s="329" t="n">
        <f aca="false">B309</f>
        <v>0</v>
      </c>
      <c r="CA729" s="112" t="n">
        <f aca="false">F309</f>
        <v>0</v>
      </c>
      <c r="CB729" s="112" t="n">
        <f aca="false">G309</f>
        <v>0</v>
      </c>
      <c r="CC729" s="112" t="n">
        <f aca="false">H309</f>
        <v>0</v>
      </c>
      <c r="CD729" s="329" t="e">
        <f aca="false">FIND(",",BZ729)</f>
        <v>#VALUE!</v>
      </c>
      <c r="CE729" s="329" t="str">
        <f aca="false">IF(ISERROR(CD729),BZ729,MID(BZ729,CD729+2,20)&amp;" "&amp;LEFT(BZ729,CD729-1))&amp;IF(ISERROR(VALUE(CA729)),"",IF(CA729&gt;1," ("&amp;CA729&amp;")",""))</f>
        <v>0</v>
      </c>
      <c r="CF729" s="329" t="n">
        <f aca="false">IF(CC729=" "," ",IF(ISERROR(VALUE(CA729)),CC729,CA729*CC729))</f>
        <v>0</v>
      </c>
      <c r="CG729" s="112" t="n">
        <f aca="false">CG728+IF(AND(BZ729&lt;&gt;0,CA729&lt;&gt;0),1,0)</f>
        <v>20</v>
      </c>
      <c r="CH729" s="112" t="n">
        <f aca="false">IF($BY729&lt;=CH$615,MATCH($BY729,CG$617:CG$863,0))</f>
        <v>0</v>
      </c>
    </row>
    <row r="730" s="32" customFormat="true" ht="12.75" hidden="false" customHeight="false" outlineLevel="0" collapsed="false">
      <c r="B730" s="343"/>
      <c r="D730" s="343"/>
      <c r="U730" s="300" t="n">
        <f aca="false">U729+IF(T416&lt;&gt;"",1,0)</f>
        <v>0</v>
      </c>
      <c r="V730" s="112" t="n">
        <f aca="false">V729+IF(T448&lt;&gt;"",1,0)</f>
        <v>0</v>
      </c>
      <c r="W730" s="112" t="n">
        <f aca="false">W729+IF(T480&lt;&gt;"",1,0)</f>
        <v>0</v>
      </c>
      <c r="X730" s="112" t="n">
        <f aca="false">X729+IF(T512&lt;&gt;"",1,0)</f>
        <v>0</v>
      </c>
      <c r="Y730" s="112" t="n">
        <f aca="false">Y729+IF(T544&lt;&gt;"",1,0)</f>
        <v>0</v>
      </c>
      <c r="Z730" s="324" t="n">
        <f aca="false">Z729+IF($T576&lt;&gt;"",1,0)</f>
        <v>0</v>
      </c>
      <c r="AA730" s="300" t="n">
        <f aca="false">IF($BY733&lt;=U$615,MATCH($BY733,U$617:U$737,0))</f>
        <v>0</v>
      </c>
      <c r="AB730" s="112" t="n">
        <f aca="false">IF($BY733&lt;=V$615,MATCH($BY733,V$617:V$737,0))</f>
        <v>0</v>
      </c>
      <c r="AC730" s="112" t="n">
        <f aca="false">IF($BY733&lt;=W$615,MATCH($BY733,W$617:W$737,0))</f>
        <v>0</v>
      </c>
      <c r="AD730" s="112" t="n">
        <f aca="false">IF($BY733&lt;=X$615,MATCH($BY733,X$617:X$737,0))</f>
        <v>0</v>
      </c>
      <c r="AE730" s="112" t="n">
        <f aca="false">IF($BY733&lt;=Y$615,MATCH($BY733,Y$617:Y$737,0))</f>
        <v>0</v>
      </c>
      <c r="AF730" s="324" t="n">
        <f aca="false">IF($BY730&lt;=Z$615,MATCH($BY730,Z$617:Z$737,0))</f>
        <v>0</v>
      </c>
      <c r="AG730" s="325" t="str">
        <f aca="true">IF(AND(AA730&lt;="",AP123=""),OFFSET(Spells!H$2,AA730,0),"")</f>
        <v>Effect</v>
      </c>
      <c r="AH730" s="325" t="str">
        <f aca="true">IF(AND(AB730&lt;="",AP123=""),OFFSET(Spells!R$2,AB730,0),"")</f>
        <v>Effect</v>
      </c>
      <c r="AI730" s="325" t="str">
        <f aca="true">IF(AND(AC730&lt;="",AP123=""),OFFSET(Spells!AB$2,AC730,0),"")</f>
        <v>Effect</v>
      </c>
      <c r="AJ730" s="326" t="str">
        <f aca="true">IF(AND(AD730&lt;="",AP123=""),OFFSET(Spells!AL$2,AD730,0),"")</f>
        <v>Effect</v>
      </c>
      <c r="AK730" s="326" t="str">
        <f aca="true">IF(AND(AE730&lt;="",AP123=""),OFFSET(Spells!AV$2,AE730,0),"")</f>
        <v>Effect</v>
      </c>
      <c r="AL730" s="325" t="str">
        <f aca="true">IF(AND(AF730&lt;="",AP121=""),OFFSET(Spells!$H$2,AF730,0),"")</f>
        <v>Effect</v>
      </c>
      <c r="AM730" s="56"/>
      <c r="AN730" s="42"/>
      <c r="AO730" s="42"/>
      <c r="AP730" s="42"/>
      <c r="AQ730" s="340"/>
      <c r="AR730" s="327" t="str">
        <f aca="false">T134&amp;IF(Z134&lt;&gt;"","("&amp;Z134&amp;")","")</f>
        <v>Sprint</v>
      </c>
      <c r="AS730" s="112" t="n">
        <f aca="false">X134</f>
        <v>0</v>
      </c>
      <c r="AT730" s="112" t="n">
        <f aca="true">OFFSET(CostSkill,AS730,0)-OFFSET(CostSkill,W134,0)</f>
        <v>0</v>
      </c>
      <c r="AU730" s="112" t="str">
        <f aca="false">Y134</f>
        <v>D</v>
      </c>
      <c r="AV730" s="112" t="n">
        <f aca="false">AV729+IF(AND(AR730&lt;&gt;" ",AS730&gt;0),1,0)</f>
        <v>16</v>
      </c>
      <c r="AW730" s="324"/>
      <c r="BY730" s="333" t="n">
        <f aca="false">BY729+1</f>
        <v>114</v>
      </c>
      <c r="BZ730" s="329" t="n">
        <f aca="false">B310</f>
        <v>0</v>
      </c>
      <c r="CA730" s="112" t="n">
        <f aca="false">F310</f>
        <v>0</v>
      </c>
      <c r="CB730" s="112" t="n">
        <f aca="false">G310</f>
        <v>0</v>
      </c>
      <c r="CC730" s="112" t="n">
        <f aca="false">H310</f>
        <v>0</v>
      </c>
      <c r="CD730" s="329" t="e">
        <f aca="false">FIND(",",BZ730)</f>
        <v>#VALUE!</v>
      </c>
      <c r="CE730" s="329" t="str">
        <f aca="false">IF(ISERROR(CD730),BZ730,MID(BZ730,CD730+2,20)&amp;" "&amp;LEFT(BZ730,CD730-1))&amp;IF(ISERROR(VALUE(CA730)),"",IF(CA730&gt;1," ("&amp;CA730&amp;")",""))</f>
        <v>0</v>
      </c>
      <c r="CF730" s="329" t="n">
        <f aca="false">IF(CC730=" "," ",IF(ISERROR(VALUE(CA730)),CC730,CA730*CC730))</f>
        <v>0</v>
      </c>
      <c r="CG730" s="112" t="n">
        <f aca="false">CG729+IF(AND(BZ730&lt;&gt;0,CA730&lt;&gt;0),1,0)</f>
        <v>20</v>
      </c>
      <c r="CH730" s="112" t="n">
        <f aca="false">IF($BY730&lt;=CH$615,MATCH($BY730,CG$617:CG$863,0))</f>
        <v>0</v>
      </c>
    </row>
    <row r="731" s="32" customFormat="true" ht="12.75" hidden="false" customHeight="false" outlineLevel="0" collapsed="false">
      <c r="B731" s="343"/>
      <c r="D731" s="343"/>
      <c r="U731" s="300" t="n">
        <f aca="false">U730+IF(T417&lt;&gt;"",1,0)</f>
        <v>0</v>
      </c>
      <c r="V731" s="112" t="n">
        <f aca="false">V730+IF(T449&lt;&gt;"",1,0)</f>
        <v>0</v>
      </c>
      <c r="W731" s="112" t="n">
        <f aca="false">W730+IF(T481&lt;&gt;"",1,0)</f>
        <v>0</v>
      </c>
      <c r="X731" s="112" t="n">
        <f aca="false">X730+IF(T513&lt;&gt;"",1,0)</f>
        <v>0</v>
      </c>
      <c r="Y731" s="112" t="n">
        <f aca="false">Y730+IF(T545&lt;&gt;"",1,0)</f>
        <v>0</v>
      </c>
      <c r="Z731" s="324" t="n">
        <f aca="false">Z730+IF($T577&lt;&gt;"",1,0)</f>
        <v>0</v>
      </c>
      <c r="AA731" s="300" t="n">
        <f aca="false">IF($BY734&lt;=U$615,MATCH($BY734,U$617:U$737,0))</f>
        <v>0</v>
      </c>
      <c r="AB731" s="112" t="n">
        <f aca="false">IF($BY734&lt;=V$615,MATCH($BY734,V$617:V$737,0))</f>
        <v>0</v>
      </c>
      <c r="AC731" s="112" t="n">
        <f aca="false">IF($BY734&lt;=W$615,MATCH($BY734,W$617:W$737,0))</f>
        <v>0</v>
      </c>
      <c r="AD731" s="112" t="n">
        <f aca="false">IF($BY734&lt;=X$615,MATCH($BY734,X$617:X$737,0))</f>
        <v>0</v>
      </c>
      <c r="AE731" s="112" t="n">
        <f aca="false">IF($BY734&lt;=Y$615,MATCH($BY734,Y$617:Y$737,0))</f>
        <v>0</v>
      </c>
      <c r="AF731" s="324" t="n">
        <f aca="false">IF($BY731&lt;=Z$615,MATCH($BY731,Z$617:Z$737,0))</f>
        <v>0</v>
      </c>
      <c r="AG731" s="325" t="str">
        <f aca="true">IF(AND(AA731&lt;="",AP124=""),OFFSET(Spells!H$2,AA731,0),"")</f>
        <v>Effect</v>
      </c>
      <c r="AH731" s="325" t="str">
        <f aca="true">IF(AND(AB731&lt;="",AP124=""),OFFSET(Spells!R$2,AB731,0),"")</f>
        <v>Effect</v>
      </c>
      <c r="AI731" s="325" t="str">
        <f aca="true">IF(AND(AC731&lt;="",AP124=""),OFFSET(Spells!AB$2,AC731,0),"")</f>
        <v>Effect</v>
      </c>
      <c r="AJ731" s="326" t="str">
        <f aca="true">IF(AND(AD731&lt;="",AP124=""),OFFSET(Spells!AL$2,AD731,0),"")</f>
        <v>Effect</v>
      </c>
      <c r="AK731" s="326" t="str">
        <f aca="true">IF(AND(AE731&lt;="",AP124=""),OFFSET(Spells!AV$2,AE731,0),"")</f>
        <v>Effect</v>
      </c>
      <c r="AL731" s="325" t="str">
        <f aca="true">IF(AND(AF731&lt;="",AP122=""),OFFSET(Spells!$H$2,AF731,0),"")</f>
        <v>Effect</v>
      </c>
      <c r="AM731" s="56"/>
      <c r="AN731" s="42"/>
      <c r="AO731" s="42"/>
      <c r="AP731" s="42"/>
      <c r="AQ731" s="340"/>
      <c r="AR731" s="327" t="str">
        <f aca="false">T135&amp;IF(Z135&lt;&gt;"","("&amp;Z135&amp;")","")</f>
        <v>Streetwise</v>
      </c>
      <c r="AS731" s="112" t="n">
        <f aca="false">X135</f>
        <v>2</v>
      </c>
      <c r="AT731" s="112" t="n">
        <f aca="true">OFFSET(CostSkill,AS731,0)-OFFSET(CostSkill,W135,0)</f>
        <v>0</v>
      </c>
      <c r="AU731" s="112" t="str">
        <f aca="false">Y135</f>
        <v>C</v>
      </c>
      <c r="AV731" s="112" t="n">
        <f aca="false">AV730+IF(AND(AR731&lt;&gt;" ",AS731&gt;0),1,0)</f>
        <v>17</v>
      </c>
      <c r="AW731" s="324"/>
      <c r="BY731" s="333" t="n">
        <f aca="false">BY730+1</f>
        <v>115</v>
      </c>
      <c r="BZ731" s="329" t="n">
        <f aca="false">B311</f>
        <v>0</v>
      </c>
      <c r="CA731" s="112" t="n">
        <f aca="false">F311</f>
        <v>0</v>
      </c>
      <c r="CB731" s="112" t="n">
        <f aca="false">G311</f>
        <v>0</v>
      </c>
      <c r="CC731" s="112" t="n">
        <f aca="false">H311</f>
        <v>0</v>
      </c>
      <c r="CD731" s="329" t="e">
        <f aca="false">FIND(",",BZ731)</f>
        <v>#VALUE!</v>
      </c>
      <c r="CE731" s="329" t="str">
        <f aca="false">IF(ISERROR(CD731),BZ731,MID(BZ731,CD731+2,20)&amp;" "&amp;LEFT(BZ731,CD731-1))&amp;IF(ISERROR(VALUE(CA731)),"",IF(CA731&gt;1," ("&amp;CA731&amp;")",""))</f>
        <v>0</v>
      </c>
      <c r="CF731" s="329" t="n">
        <f aca="false">IF(CC731=" "," ",IF(ISERROR(VALUE(CA731)),CC731,CA731*CC731))</f>
        <v>0</v>
      </c>
      <c r="CG731" s="112" t="n">
        <f aca="false">CG730+IF(AND(BZ731&lt;&gt;0,CA731&lt;&gt;0),1,0)</f>
        <v>20</v>
      </c>
      <c r="CH731" s="112" t="n">
        <f aca="false">IF($BY731&lt;=CH$615,MATCH($BY731,CG$617:CG$863,0))</f>
        <v>0</v>
      </c>
    </row>
    <row r="732" s="32" customFormat="true" ht="12.75" hidden="false" customHeight="false" outlineLevel="0" collapsed="false">
      <c r="B732" s="343"/>
      <c r="D732" s="343"/>
      <c r="U732" s="300" t="n">
        <f aca="false">U731+IF(T418&lt;&gt;"",1,0)</f>
        <v>0</v>
      </c>
      <c r="V732" s="112" t="n">
        <f aca="false">V731+IF(T450&lt;&gt;"",1,0)</f>
        <v>0</v>
      </c>
      <c r="W732" s="112" t="n">
        <f aca="false">W731+IF(T482&lt;&gt;"",1,0)</f>
        <v>0</v>
      </c>
      <c r="X732" s="112" t="n">
        <f aca="false">X731+IF(T514&lt;&gt;"",1,0)</f>
        <v>0</v>
      </c>
      <c r="Y732" s="112" t="n">
        <f aca="false">Y731+IF(T546&lt;&gt;"",1,0)</f>
        <v>0</v>
      </c>
      <c r="Z732" s="324" t="n">
        <f aca="false">Z731+IF($T578&lt;&gt;"",1,0)</f>
        <v>0</v>
      </c>
      <c r="AA732" s="300" t="n">
        <f aca="false">IF($BY735&lt;=U$615,MATCH($BY735,U$617:U$737,0))</f>
        <v>0</v>
      </c>
      <c r="AB732" s="112" t="n">
        <f aca="false">IF($BY735&lt;=V$615,MATCH($BY735,V$617:V$737,0))</f>
        <v>0</v>
      </c>
      <c r="AC732" s="112" t="n">
        <f aca="false">IF($BY735&lt;=W$615,MATCH($BY735,W$617:W$737,0))</f>
        <v>0</v>
      </c>
      <c r="AD732" s="112" t="n">
        <f aca="false">IF($BY735&lt;=X$615,MATCH($BY735,X$617:X$737,0))</f>
        <v>0</v>
      </c>
      <c r="AE732" s="112" t="n">
        <f aca="false">IF($BY735&lt;=Y$615,MATCH($BY735,Y$617:Y$737,0))</f>
        <v>0</v>
      </c>
      <c r="AF732" s="324" t="n">
        <f aca="false">IF($BY732&lt;=Z$615,MATCH($BY732,Z$617:Z$737,0))</f>
        <v>0</v>
      </c>
      <c r="AG732" s="325" t="str">
        <f aca="true">IF(AND(AA732&lt;="",AP125=""),OFFSET(Spells!H$2,AA732,0),"")</f>
        <v>Effect</v>
      </c>
      <c r="AH732" s="325" t="str">
        <f aca="true">IF(AND(AB732&lt;="",AP125=""),OFFSET(Spells!R$2,AB732,0),"")</f>
        <v>Effect</v>
      </c>
      <c r="AI732" s="325" t="str">
        <f aca="true">IF(AND(AC732&lt;="",AP125=""),OFFSET(Spells!AB$2,AC732,0),"")</f>
        <v>Effect</v>
      </c>
      <c r="AJ732" s="326" t="str">
        <f aca="true">IF(AND(AD732&lt;="",AP125=""),OFFSET(Spells!AL$2,AD732,0),"")</f>
        <v>Effect</v>
      </c>
      <c r="AK732" s="326" t="str">
        <f aca="true">IF(AND(AE732&lt;="",AP125=""),OFFSET(Spells!AV$2,AE732,0),"")</f>
        <v>Effect</v>
      </c>
      <c r="AL732" s="325" t="str">
        <f aca="true">IF(AND(AF732&lt;="",AP123=""),OFFSET(Spells!$H$2,AF732,0),"")</f>
        <v>Effect</v>
      </c>
      <c r="AM732" s="56"/>
      <c r="AN732" s="42"/>
      <c r="AO732" s="42"/>
      <c r="AP732" s="42"/>
      <c r="AQ732" s="340"/>
      <c r="AR732" s="327" t="str">
        <f aca="false">T136&amp;IF(Z136&lt;&gt;"","("&amp;Z136&amp;")","")</f>
        <v>Sure Mount</v>
      </c>
      <c r="AS732" s="112" t="n">
        <f aca="false">X136</f>
        <v>0</v>
      </c>
      <c r="AT732" s="112" t="n">
        <f aca="true">OFFSET(CostSkill,AS732,0)-OFFSET(CostSkill,W136,0)</f>
        <v>0</v>
      </c>
      <c r="AU732" s="112" t="str">
        <f aca="false">Y136</f>
        <v>S</v>
      </c>
      <c r="AV732" s="112" t="n">
        <f aca="false">AV731+IF(AND(AR732&lt;&gt;" ",AS732&gt;0),1,0)</f>
        <v>17</v>
      </c>
      <c r="AW732" s="324"/>
      <c r="BY732" s="333" t="n">
        <f aca="false">BY731+1</f>
        <v>116</v>
      </c>
      <c r="BZ732" s="329" t="n">
        <f aca="false">B312</f>
        <v>0</v>
      </c>
      <c r="CA732" s="112" t="n">
        <f aca="false">F312</f>
        <v>0</v>
      </c>
      <c r="CB732" s="112" t="n">
        <f aca="false">G312</f>
        <v>0</v>
      </c>
      <c r="CC732" s="112" t="n">
        <f aca="false">H312</f>
        <v>0</v>
      </c>
      <c r="CD732" s="329" t="e">
        <f aca="false">FIND(",",BZ732)</f>
        <v>#VALUE!</v>
      </c>
      <c r="CE732" s="329" t="str">
        <f aca="false">IF(ISERROR(CD732),BZ732,MID(BZ732,CD732+2,20)&amp;" "&amp;LEFT(BZ732,CD732-1))&amp;IF(ISERROR(VALUE(CA732)),"",IF(CA732&gt;1," ("&amp;CA732&amp;")",""))</f>
        <v>0</v>
      </c>
      <c r="CF732" s="329" t="n">
        <f aca="false">IF(CC732=" "," ",IF(ISERROR(VALUE(CA732)),CC732,CA732*CC732))</f>
        <v>0</v>
      </c>
      <c r="CG732" s="112" t="n">
        <f aca="false">CG731+IF(AND(BZ732&lt;&gt;0,CA732&lt;&gt;0),1,0)</f>
        <v>20</v>
      </c>
      <c r="CH732" s="112" t="n">
        <f aca="false">IF($BY732&lt;=CH$615,MATCH($BY732,CG$617:CG$863,0))</f>
        <v>0</v>
      </c>
    </row>
    <row r="733" s="32" customFormat="true" ht="12.75" hidden="false" customHeight="false" outlineLevel="0" collapsed="false">
      <c r="B733" s="343"/>
      <c r="D733" s="343"/>
      <c r="U733" s="300" t="n">
        <f aca="false">U732+IF(T419&lt;&gt;"",1,0)</f>
        <v>0</v>
      </c>
      <c r="V733" s="112" t="n">
        <f aca="false">V732+IF(T451&lt;&gt;"",1,0)</f>
        <v>0</v>
      </c>
      <c r="W733" s="112" t="n">
        <f aca="false">W732+IF(T483&lt;&gt;"",1,0)</f>
        <v>0</v>
      </c>
      <c r="X733" s="112" t="n">
        <f aca="false">X732+IF(T515&lt;&gt;"",1,0)</f>
        <v>0</v>
      </c>
      <c r="Y733" s="112" t="n">
        <f aca="false">Y732+IF(T547&lt;&gt;"",1,0)</f>
        <v>0</v>
      </c>
      <c r="Z733" s="324" t="n">
        <f aca="false">Z732+IF($T579&lt;&gt;"",1,0)</f>
        <v>0</v>
      </c>
      <c r="AA733" s="300" t="n">
        <f aca="false">IF($BY736&lt;=U$615,MATCH($BY736,U$617:U$737,0))</f>
        <v>0</v>
      </c>
      <c r="AB733" s="112" t="n">
        <f aca="false">IF($BY736&lt;=V$615,MATCH($BY736,V$617:V$737,0))</f>
        <v>0</v>
      </c>
      <c r="AC733" s="112" t="n">
        <f aca="false">IF($BY736&lt;=W$615,MATCH($BY736,W$617:W$737,0))</f>
        <v>0</v>
      </c>
      <c r="AD733" s="112" t="n">
        <f aca="false">IF($BY736&lt;=X$615,MATCH($BY736,X$617:X$737,0))</f>
        <v>0</v>
      </c>
      <c r="AE733" s="112" t="n">
        <f aca="false">IF($BY736&lt;=Y$615,MATCH($BY736,Y$617:Y$737,0))</f>
        <v>0</v>
      </c>
      <c r="AF733" s="324" t="n">
        <f aca="false">IF($BY733&lt;=Z$615,MATCH($BY733,Z$617:Z$737,0))</f>
        <v>0</v>
      </c>
      <c r="AG733" s="325" t="str">
        <f aca="true">IF(AND(AA733&lt;="",AP126=""),OFFSET(Spells!H$2,AA733,0),"")</f>
        <v>Effect</v>
      </c>
      <c r="AH733" s="325" t="str">
        <f aca="true">IF(AND(AB733&lt;="",AP126=""),OFFSET(Spells!R$2,AB733,0),"")</f>
        <v>Effect</v>
      </c>
      <c r="AI733" s="325" t="str">
        <f aca="true">IF(AND(AC733&lt;="",AP126=""),OFFSET(Spells!AB$2,AC733,0),"")</f>
        <v>Effect</v>
      </c>
      <c r="AJ733" s="326" t="str">
        <f aca="true">IF(AND(AD733&lt;="",AP126=""),OFFSET(Spells!AL$2,AD733,0),"")</f>
        <v>Effect</v>
      </c>
      <c r="AK733" s="326" t="str">
        <f aca="true">IF(AND(AE733&lt;="",AP126=""),OFFSET(Spells!AV$2,AE733,0),"")</f>
        <v>Effect</v>
      </c>
      <c r="AL733" s="325" t="str">
        <f aca="true">IF(AND(AF733&lt;="",AP124=""),OFFSET(Spells!$H$2,AF733,0),"")</f>
        <v>Effect</v>
      </c>
      <c r="AM733" s="56"/>
      <c r="AN733" s="42"/>
      <c r="AO733" s="42"/>
      <c r="AP733" s="42"/>
      <c r="AQ733" s="340"/>
      <c r="AR733" s="327" t="str">
        <f aca="false">T137&amp;IF(Z137&lt;&gt;"","("&amp;Z137&amp;")","")</f>
        <v>Surprise Strike</v>
      </c>
      <c r="AS733" s="112" t="n">
        <f aca="false">X137</f>
        <v>0</v>
      </c>
      <c r="AT733" s="112" t="n">
        <f aca="true">OFFSET(CostSkill,AS733,0)-OFFSET(CostSkill,W137,0)</f>
        <v>0</v>
      </c>
      <c r="AU733" s="112" t="str">
        <f aca="false">Y137</f>
        <v>S</v>
      </c>
      <c r="AV733" s="112" t="n">
        <f aca="false">AV732+IF(AND(AR733&lt;&gt;" ",AS733&gt;0),1,0)</f>
        <v>17</v>
      </c>
      <c r="AW733" s="324"/>
      <c r="BY733" s="333" t="n">
        <f aca="false">BY732+1</f>
        <v>117</v>
      </c>
      <c r="BZ733" s="329" t="str">
        <f aca="false">R253</f>
        <v>Artisan tools for Carving</v>
      </c>
      <c r="CA733" s="112" t="n">
        <f aca="false">V253</f>
        <v>0</v>
      </c>
      <c r="CB733" s="112" t="n">
        <f aca="false">W253</f>
        <v>15</v>
      </c>
      <c r="CC733" s="112" t="n">
        <f aca="false">X253</f>
        <v>3</v>
      </c>
      <c r="CD733" s="329" t="e">
        <f aca="false">FIND(",",BZ733)</f>
        <v>#VALUE!</v>
      </c>
      <c r="CE733" s="329" t="str">
        <f aca="false">IF(ISERROR(CD733),BZ733,MID(BZ733,CD733+2,20)&amp;" "&amp;LEFT(BZ733,CD733-1))&amp;IF(ISERROR(VALUE(CA733)),"",IF(CA733&gt;1," ("&amp;CA733&amp;")",""))</f>
        <v>Artisan tools for Carving</v>
      </c>
      <c r="CF733" s="329" t="n">
        <f aca="false">IF(CC733=" "," ",IF(ISERROR(VALUE(CA733)),CC733,CA733*CC733))</f>
        <v>0</v>
      </c>
      <c r="CG733" s="112" t="n">
        <f aca="false">CG732+IF(AND(BZ733&lt;&gt;0,CA733&lt;&gt;0),1,0)</f>
        <v>20</v>
      </c>
      <c r="CH733" s="112" t="n">
        <f aca="false">IF($BY733&lt;=CH$615,MATCH($BY733,CG$617:CG$863,0))</f>
        <v>0</v>
      </c>
    </row>
    <row r="734" s="32" customFormat="true" ht="12.75" hidden="false" customHeight="false" outlineLevel="0" collapsed="false">
      <c r="B734" s="343"/>
      <c r="D734" s="343"/>
      <c r="U734" s="300" t="n">
        <f aca="false">U733+IF(T420&lt;&gt;"",1,0)</f>
        <v>0</v>
      </c>
      <c r="V734" s="112" t="n">
        <f aca="false">V733+IF(T452&lt;&gt;"",1,0)</f>
        <v>0</v>
      </c>
      <c r="W734" s="112" t="n">
        <f aca="false">W733+IF(T484&lt;&gt;"",1,0)</f>
        <v>0</v>
      </c>
      <c r="X734" s="112" t="n">
        <f aca="false">X733+IF(T516&lt;&gt;"",1,0)</f>
        <v>0</v>
      </c>
      <c r="Y734" s="112" t="n">
        <f aca="false">Y733+IF(T548&lt;&gt;"",1,0)</f>
        <v>0</v>
      </c>
      <c r="Z734" s="324" t="n">
        <f aca="false">Z733+IF($T580&lt;&gt;"",1,0)</f>
        <v>0</v>
      </c>
      <c r="AA734" s="300" t="n">
        <f aca="false">IF($BY737&lt;=U$615,MATCH($BY737,U$617:U$737,0))</f>
        <v>0</v>
      </c>
      <c r="AB734" s="112" t="n">
        <f aca="false">IF($BY737&lt;=V$615,MATCH($BY737,V$617:V$737,0))</f>
        <v>0</v>
      </c>
      <c r="AC734" s="112" t="n">
        <f aca="false">IF($BY737&lt;=W$615,MATCH($BY737,W$617:W$737,0))</f>
        <v>0</v>
      </c>
      <c r="AD734" s="112" t="n">
        <f aca="false">IF($BY737&lt;=X$615,MATCH($BY737,X$617:X$737,0))</f>
        <v>0</v>
      </c>
      <c r="AE734" s="112" t="n">
        <f aca="false">IF($BY737&lt;=Y$615,MATCH($BY737,Y$617:Y$737,0))</f>
        <v>0</v>
      </c>
      <c r="AF734" s="324" t="n">
        <f aca="false">IF($BY734&lt;=Z$615,MATCH($BY734,Z$617:Z$737,0))</f>
        <v>0</v>
      </c>
      <c r="AG734" s="325" t="str">
        <f aca="true">IF(AND(AA734&lt;="",AP127=""),OFFSET(Spells!H$2,AA734,0),"")</f>
        <v>Effect</v>
      </c>
      <c r="AH734" s="325" t="str">
        <f aca="true">IF(AND(AB734&lt;="",AP127=""),OFFSET(Spells!R$2,AB734,0),"")</f>
        <v>Effect</v>
      </c>
      <c r="AI734" s="325" t="str">
        <f aca="true">IF(AND(AC734&lt;="",AP127=""),OFFSET(Spells!AB$2,AC734,0),"")</f>
        <v>Effect</v>
      </c>
      <c r="AJ734" s="326" t="str">
        <f aca="true">IF(AND(AD734&lt;="",AP127=""),OFFSET(Spells!AL$2,AD734,0),"")</f>
        <v>Effect</v>
      </c>
      <c r="AK734" s="326" t="str">
        <f aca="true">IF(AND(AE734&lt;="",AP127=""),OFFSET(Spells!AV$2,AE734,0),"")</f>
        <v>Effect</v>
      </c>
      <c r="AL734" s="325" t="str">
        <f aca="true">IF(AND(AF734&lt;="",AP125=""),OFFSET(Spells!$H$2,AF734,0),"")</f>
        <v>Effect</v>
      </c>
      <c r="AM734" s="56"/>
      <c r="AN734" s="42"/>
      <c r="AO734" s="42"/>
      <c r="AP734" s="42"/>
      <c r="AQ734" s="340"/>
      <c r="AR734" s="327" t="str">
        <f aca="false">T138&amp;IF(Z138&lt;&gt;"","("&amp;Z138&amp;")","")</f>
        <v>Swift Kick</v>
      </c>
      <c r="AS734" s="112" t="n">
        <f aca="false">X138</f>
        <v>0</v>
      </c>
      <c r="AT734" s="112" t="n">
        <f aca="true">OFFSET(CostSkill,AS734,0)-OFFSET(CostSkill,W138,0)</f>
        <v>0</v>
      </c>
      <c r="AU734" s="112" t="str">
        <f aca="false">Y138</f>
        <v>D</v>
      </c>
      <c r="AV734" s="112" t="n">
        <f aca="false">AV733+IF(AND(AR734&lt;&gt;" ",AS734&gt;0),1,0)</f>
        <v>17</v>
      </c>
      <c r="AW734" s="324"/>
      <c r="BY734" s="333" t="n">
        <f aca="false">BY733+1</f>
        <v>118</v>
      </c>
      <c r="BZ734" s="329" t="str">
        <f aca="false">R254</f>
        <v>Artisan tools for Embroidery</v>
      </c>
      <c r="CA734" s="112" t="n">
        <f aca="false">V254</f>
        <v>0</v>
      </c>
      <c r="CB734" s="112" t="n">
        <f aca="false">W254</f>
        <v>25</v>
      </c>
      <c r="CC734" s="112" t="n">
        <f aca="false">X254</f>
        <v>1</v>
      </c>
      <c r="CD734" s="329" t="e">
        <f aca="false">FIND(",",BZ734)</f>
        <v>#VALUE!</v>
      </c>
      <c r="CE734" s="329" t="str">
        <f aca="false">IF(ISERROR(CD734),BZ734,MID(BZ734,CD734+2,20)&amp;" "&amp;LEFT(BZ734,CD734-1))&amp;IF(ISERROR(VALUE(CA734)),"",IF(CA734&gt;1," ("&amp;CA734&amp;")",""))</f>
        <v>Artisan tools for Embroidery</v>
      </c>
      <c r="CF734" s="329" t="n">
        <f aca="false">IF(CC734=" "," ",IF(ISERROR(VALUE(CA734)),CC734,CA734*CC734))</f>
        <v>0</v>
      </c>
      <c r="CG734" s="112" t="n">
        <f aca="false">CG733+IF(AND(BZ734&lt;&gt;0,CA734&lt;&gt;0),1,0)</f>
        <v>20</v>
      </c>
      <c r="CH734" s="112" t="n">
        <f aca="false">IF($BY734&lt;=CH$615,MATCH($BY734,CG$617:CG$863,0))</f>
        <v>0</v>
      </c>
    </row>
    <row r="735" s="32" customFormat="true" ht="12.75" hidden="false" customHeight="false" outlineLevel="0" collapsed="false">
      <c r="B735" s="343"/>
      <c r="D735" s="343"/>
      <c r="U735" s="300" t="n">
        <f aca="false">U734+IF(T421&lt;&gt;"",1,0)</f>
        <v>0</v>
      </c>
      <c r="V735" s="112" t="n">
        <f aca="false">V734+IF(T453&lt;&gt;"",1,0)</f>
        <v>0</v>
      </c>
      <c r="W735" s="112" t="n">
        <f aca="false">W734+IF(T485&lt;&gt;"",1,0)</f>
        <v>0</v>
      </c>
      <c r="X735" s="112" t="n">
        <f aca="false">X734+IF(T517&lt;&gt;"",1,0)</f>
        <v>0</v>
      </c>
      <c r="Y735" s="112" t="n">
        <f aca="false">Y734+IF(T549&lt;&gt;"",1,0)</f>
        <v>0</v>
      </c>
      <c r="Z735" s="324" t="n">
        <f aca="false">Z734+IF($T581&lt;&gt;"",1,0)</f>
        <v>0</v>
      </c>
      <c r="AA735" s="300" t="n">
        <f aca="false">IF($BY738&lt;=U$615,MATCH($BY738,U$617:U$737,0))</f>
        <v>0</v>
      </c>
      <c r="AB735" s="112" t="n">
        <f aca="false">IF($BY738&lt;=V$615,MATCH($BY738,V$617:V$737,0))</f>
        <v>0</v>
      </c>
      <c r="AC735" s="112" t="n">
        <f aca="false">IF($BY738&lt;=W$615,MATCH($BY738,W$617:W$737,0))</f>
        <v>0</v>
      </c>
      <c r="AD735" s="112" t="n">
        <f aca="false">IF($BY738&lt;=X$615,MATCH($BY738,X$617:X$737,0))</f>
        <v>0</v>
      </c>
      <c r="AE735" s="112" t="n">
        <f aca="false">IF($BY738&lt;=Y$615,MATCH($BY738,Y$617:Y$737,0))</f>
        <v>0</v>
      </c>
      <c r="AF735" s="324" t="n">
        <f aca="false">IF($BY735&lt;=Z$615,MATCH($BY735,Z$617:Z$737,0))</f>
        <v>0</v>
      </c>
      <c r="AG735" s="325" t="str">
        <f aca="true">IF(AND(AA735&lt;="",AP128=""),OFFSET(Spells!H$2,AA735,0),"")</f>
        <v>Effect</v>
      </c>
      <c r="AH735" s="325" t="str">
        <f aca="true">IF(AND(AB735&lt;="",AP128=""),OFFSET(Spells!R$2,AB735,0),"")</f>
        <v>Effect</v>
      </c>
      <c r="AI735" s="325" t="str">
        <f aca="true">IF(AND(AC735&lt;="",AP128=""),OFFSET(Spells!AB$2,AC735,0),"")</f>
        <v>Effect</v>
      </c>
      <c r="AJ735" s="326" t="str">
        <f aca="true">IF(AND(AD735&lt;="",AP128=""),OFFSET(Spells!AL$2,AD735,0),"")</f>
        <v>Effect</v>
      </c>
      <c r="AK735" s="326" t="str">
        <f aca="true">IF(AND(AE735&lt;="",AP128=""),OFFSET(Spells!AV$2,AE735,0),"")</f>
        <v>Effect</v>
      </c>
      <c r="AL735" s="325" t="str">
        <f aca="true">IF(AND(AF735&lt;="",AP126=""),OFFSET(Spells!$H$2,AF735,0),"")</f>
        <v>Effect</v>
      </c>
      <c r="AM735" s="56"/>
      <c r="AN735" s="42"/>
      <c r="AO735" s="42"/>
      <c r="AP735" s="42"/>
      <c r="AQ735" s="340"/>
      <c r="AR735" s="327" t="str">
        <f aca="false">T139&amp;IF(Z139&lt;&gt;"","("&amp;Z139&amp;")","")</f>
        <v>Swimming</v>
      </c>
      <c r="AS735" s="112" t="n">
        <f aca="false">X139</f>
        <v>1</v>
      </c>
      <c r="AT735" s="112" t="n">
        <f aca="true">OFFSET(CostSkill,AS735,0)-OFFSET(CostSkill,W139,0)</f>
        <v>0</v>
      </c>
      <c r="AU735" s="112" t="str">
        <f aca="false">Y139</f>
        <v>S</v>
      </c>
      <c r="AV735" s="112" t="n">
        <f aca="false">AV734+IF(AND(AR735&lt;&gt;" ",AS735&gt;0),1,0)</f>
        <v>18</v>
      </c>
      <c r="AW735" s="324"/>
      <c r="BY735" s="333" t="n">
        <f aca="false">BY734+1</f>
        <v>119</v>
      </c>
      <c r="BZ735" s="329" t="str">
        <f aca="false">R255</f>
        <v>Artisan tools for Painting</v>
      </c>
      <c r="CA735" s="112" t="n">
        <f aca="false">V255</f>
        <v>0</v>
      </c>
      <c r="CB735" s="112" t="n">
        <f aca="false">W255</f>
        <v>45</v>
      </c>
      <c r="CC735" s="112" t="n">
        <f aca="false">X255</f>
        <v>2</v>
      </c>
      <c r="CD735" s="329" t="e">
        <f aca="false">FIND(",",BZ735)</f>
        <v>#VALUE!</v>
      </c>
      <c r="CE735" s="329" t="str">
        <f aca="false">IF(ISERROR(CD735),BZ735,MID(BZ735,CD735+2,20)&amp;" "&amp;LEFT(BZ735,CD735-1))&amp;IF(ISERROR(VALUE(CA735)),"",IF(CA735&gt;1," ("&amp;CA735&amp;")",""))</f>
        <v>Artisan tools for Painting</v>
      </c>
      <c r="CF735" s="329" t="n">
        <f aca="false">IF(CC735=" "," ",IF(ISERROR(VALUE(CA735)),CC735,CA735*CC735))</f>
        <v>0</v>
      </c>
      <c r="CG735" s="112" t="n">
        <f aca="false">CG734+IF(AND(BZ735&lt;&gt;0,CA735&lt;&gt;0),1,0)</f>
        <v>20</v>
      </c>
      <c r="CH735" s="112" t="n">
        <f aca="false">IF($BY735&lt;=CH$615,MATCH($BY735,CG$617:CG$863,0))</f>
        <v>0</v>
      </c>
    </row>
    <row r="736" s="32" customFormat="true" ht="12.75" hidden="false" customHeight="false" outlineLevel="0" collapsed="false">
      <c r="B736" s="343"/>
      <c r="D736" s="343"/>
      <c r="U736" s="300" t="n">
        <f aca="false">U735+IF(T422&lt;&gt;"",1,0)</f>
        <v>0</v>
      </c>
      <c r="V736" s="112" t="n">
        <f aca="false">V735+IF(T454&lt;&gt;"",1,0)</f>
        <v>0</v>
      </c>
      <c r="W736" s="112" t="n">
        <f aca="false">W735+IF(T486&lt;&gt;"",1,0)</f>
        <v>0</v>
      </c>
      <c r="X736" s="112" t="n">
        <f aca="false">X735+IF(T518&lt;&gt;"",1,0)</f>
        <v>0</v>
      </c>
      <c r="Y736" s="112" t="n">
        <f aca="false">Y735+IF(T550&lt;&gt;"",1,0)</f>
        <v>0</v>
      </c>
      <c r="Z736" s="324" t="n">
        <f aca="false">Z735+IF($T582&lt;&gt;"",1,0)</f>
        <v>0</v>
      </c>
      <c r="AA736" s="300" t="n">
        <f aca="false">IF($BY739&lt;=U$615,MATCH($BY739,U$617:U$737,0))</f>
        <v>0</v>
      </c>
      <c r="AB736" s="112" t="n">
        <f aca="false">IF($BY739&lt;=V$615,MATCH($BY739,V$617:V$737,0))</f>
        <v>0</v>
      </c>
      <c r="AC736" s="112" t="n">
        <f aca="false">IF($BY739&lt;=W$615,MATCH($BY739,W$617:W$737,0))</f>
        <v>0</v>
      </c>
      <c r="AD736" s="112" t="n">
        <f aca="false">IF($BY739&lt;=X$615,MATCH($BY739,X$617:X$737,0))</f>
        <v>0</v>
      </c>
      <c r="AE736" s="112" t="n">
        <f aca="false">IF($BY739&lt;=Y$615,MATCH($BY739,Y$617:Y$737,0))</f>
        <v>0</v>
      </c>
      <c r="AF736" s="324" t="n">
        <f aca="false">IF($BY736&lt;=Z$615,MATCH($BY736,Z$617:Z$737,0))</f>
        <v>0</v>
      </c>
      <c r="AG736" s="325" t="str">
        <f aca="true">IF(AND(AA736&lt;="",AP129=""),OFFSET(Spells!H$2,AA736,0),"")</f>
        <v>Effect</v>
      </c>
      <c r="AH736" s="325" t="str">
        <f aca="true">IF(AND(AB736&lt;="",AP129=""),OFFSET(Spells!R$2,AB736,0),"")</f>
        <v>Effect</v>
      </c>
      <c r="AI736" s="325" t="str">
        <f aca="true">IF(AND(AC736&lt;="",AP129=""),OFFSET(Spells!AB$2,AC736,0),"")</f>
        <v>Effect</v>
      </c>
      <c r="AJ736" s="326" t="str">
        <f aca="true">IF(AND(AD736&lt;="",AP129=""),OFFSET(Spells!AL$2,AD736,0),"")</f>
        <v>Effect</v>
      </c>
      <c r="AK736" s="326" t="str">
        <f aca="true">IF(AND(AE736&lt;="",AP129=""),OFFSET(Spells!AV$2,AE736,0),"")</f>
        <v>Effect</v>
      </c>
      <c r="AL736" s="325" t="str">
        <f aca="true">IF(AND(AF736&lt;="",AP127=""),OFFSET(Spells!$H$2,AF736,0),"")</f>
        <v>Effect</v>
      </c>
      <c r="AM736" s="56"/>
      <c r="AN736" s="42"/>
      <c r="AO736" s="42"/>
      <c r="AP736" s="42"/>
      <c r="AQ736" s="340"/>
      <c r="AR736" s="327" t="str">
        <f aca="false">T140&amp;IF(Z140&lt;&gt;"","("&amp;Z140&amp;")","")</f>
        <v>Tactics</v>
      </c>
      <c r="AS736" s="112" t="n">
        <f aca="false">X140</f>
        <v>0</v>
      </c>
      <c r="AT736" s="112" t="n">
        <f aca="true">OFFSET(CostSkill,AS736,0)-OFFSET(CostSkill,W140,0)</f>
        <v>0</v>
      </c>
      <c r="AU736" s="112" t="str">
        <f aca="false">Y140</f>
        <v>P</v>
      </c>
      <c r="AV736" s="112" t="n">
        <f aca="false">AV735+IF(AND(AR736&lt;&gt;" ",AS736&gt;0),1,0)</f>
        <v>18</v>
      </c>
      <c r="AW736" s="324"/>
      <c r="BY736" s="333" t="n">
        <f aca="false">BY735+1</f>
        <v>120</v>
      </c>
      <c r="BZ736" s="329" t="str">
        <f aca="false">R256</f>
        <v>Artisan tools for Sculpting</v>
      </c>
      <c r="CA736" s="112" t="n">
        <f aca="false">V256</f>
        <v>1</v>
      </c>
      <c r="CB736" s="112" t="n">
        <f aca="false">W256</f>
        <v>30</v>
      </c>
      <c r="CC736" s="112" t="n">
        <f aca="false">X256</f>
        <v>3</v>
      </c>
      <c r="CD736" s="329" t="e">
        <f aca="false">FIND(",",BZ736)</f>
        <v>#VALUE!</v>
      </c>
      <c r="CE736" s="329" t="str">
        <f aca="false">IF(ISERROR(CD736),BZ736,MID(BZ736,CD736+2,20)&amp;" "&amp;LEFT(BZ736,CD736-1))&amp;IF(ISERROR(VALUE(CA736)),"",IF(CA736&gt;1," ("&amp;CA736&amp;")",""))</f>
        <v>Artisan tools for Sculpting</v>
      </c>
      <c r="CF736" s="329" t="n">
        <f aca="false">IF(CC736=" "," ",IF(ISERROR(VALUE(CA736)),CC736,CA736*CC736))</f>
        <v>3</v>
      </c>
      <c r="CG736" s="112" t="n">
        <f aca="false">CG735+IF(AND(BZ736&lt;&gt;0,CA736&lt;&gt;0),1,0)</f>
        <v>21</v>
      </c>
      <c r="CH736" s="112" t="n">
        <f aca="false">IF($BY736&lt;=CH$615,MATCH($BY736,CG$617:CG$863,0))</f>
        <v>0</v>
      </c>
    </row>
    <row r="737" s="32" customFormat="true" ht="12.75" hidden="false" customHeight="false" outlineLevel="0" collapsed="false">
      <c r="U737" s="300" t="n">
        <f aca="false">U736+IF(AA393&lt;&gt;"",1,0)</f>
        <v>0</v>
      </c>
      <c r="V737" s="112" t="n">
        <f aca="false">V736+IF(AA425&lt;&gt;"",1,0)</f>
        <v>0</v>
      </c>
      <c r="W737" s="112" t="n">
        <f aca="false">W736+IF(AA457&lt;&gt;"",1,0)</f>
        <v>0</v>
      </c>
      <c r="X737" s="112" t="n">
        <f aca="false">X736+IF(AA489&lt;&gt;"",1,0)</f>
        <v>0</v>
      </c>
      <c r="Y737" s="112" t="n">
        <f aca="false">Y736+IF(AA521&lt;&gt;"",1,0)</f>
        <v>0</v>
      </c>
      <c r="Z737" s="324" t="n">
        <f aca="false">Z736+IF($T583&lt;&gt;"",1,0)</f>
        <v>0</v>
      </c>
      <c r="AA737" s="300" t="n">
        <f aca="false">IF($BY740&lt;=U$615,MATCH($BY740,U$617:U$737,0))</f>
        <v>0</v>
      </c>
      <c r="AB737" s="112" t="n">
        <f aca="false">IF($BY740&lt;=V$615,MATCH($BY740,V$617:V$737,0))</f>
        <v>0</v>
      </c>
      <c r="AC737" s="112" t="n">
        <f aca="false">IF($BY740&lt;=W$615,MATCH($BY740,W$617:W$737,0))</f>
        <v>0</v>
      </c>
      <c r="AD737" s="112" t="n">
        <f aca="false">IF($BY740&lt;=X$615,MATCH($BY740,X$617:X$737,0))</f>
        <v>0</v>
      </c>
      <c r="AE737" s="112" t="n">
        <f aca="false">IF($BY740&lt;=Y$615,MATCH($BY740,Y$617:Y$737,0))</f>
        <v>0</v>
      </c>
      <c r="AF737" s="324" t="n">
        <f aca="false">IF($BY737&lt;=Z$615,MATCH($BY737,Z$617:Z$737,0))</f>
        <v>0</v>
      </c>
      <c r="AG737" s="325" t="str">
        <f aca="true">IF(AND(AA737&lt;="",AP130=""),OFFSET(Spells!H$2,AA737,0),"")</f>
        <v>Effect</v>
      </c>
      <c r="AH737" s="325" t="str">
        <f aca="true">IF(AND(AB737&lt;="",AP130=""),OFFSET(Spells!R$2,AB737,0),"")</f>
        <v>Effect</v>
      </c>
      <c r="AI737" s="325" t="str">
        <f aca="true">IF(AND(AC737&lt;="",AP130=""),OFFSET(Spells!AB$2,AC737,0),"")</f>
        <v>Effect</v>
      </c>
      <c r="AJ737" s="326" t="str">
        <f aca="true">IF(AND(AD737&lt;="",AP130=""),OFFSET(Spells!AL$2,AD737,0),"")</f>
        <v>Effect</v>
      </c>
      <c r="AK737" s="326" t="str">
        <f aca="true">IF(AND(AE737&lt;="",AP130=""),OFFSET(Spells!AV$2,AE737,0),"")</f>
        <v>Effect</v>
      </c>
      <c r="AL737" s="325" t="str">
        <f aca="true">IF(AND(AF737&lt;="",AP128=""),OFFSET(Spells!$H$2,AF737,0),"")</f>
        <v>Effect</v>
      </c>
      <c r="AM737" s="56"/>
      <c r="AN737" s="42"/>
      <c r="AO737" s="42"/>
      <c r="AP737" s="42"/>
      <c r="AQ737" s="340"/>
      <c r="AR737" s="327" t="str">
        <f aca="false">T141&amp;IF(Z141&lt;&gt;"","("&amp;Z141&amp;")","")</f>
        <v>Taunt</v>
      </c>
      <c r="AS737" s="112" t="n">
        <f aca="false">X141</f>
        <v>0</v>
      </c>
      <c r="AT737" s="112" t="n">
        <f aca="true">OFFSET(CostSkill,AS737,0)-OFFSET(CostSkill,W141,0)</f>
        <v>0</v>
      </c>
      <c r="AU737" s="112" t="str">
        <f aca="false">Y141</f>
        <v>C</v>
      </c>
      <c r="AV737" s="112" t="n">
        <f aca="false">AV736+IF(AND(AR737&lt;&gt;" ",AS737&gt;0),1,0)</f>
        <v>18</v>
      </c>
      <c r="AW737" s="324"/>
      <c r="BY737" s="333" t="n">
        <f aca="false">BY736+1</f>
        <v>121</v>
      </c>
      <c r="BZ737" s="329" t="str">
        <f aca="false">R257</f>
        <v>Musical instrument, Whistle</v>
      </c>
      <c r="CA737" s="112" t="n">
        <f aca="false">V257</f>
        <v>0</v>
      </c>
      <c r="CB737" s="112" t="n">
        <f aca="false">W257</f>
        <v>0.2</v>
      </c>
      <c r="CC737" s="112" t="n">
        <f aca="false">X257</f>
        <v>1</v>
      </c>
      <c r="CD737" s="329" t="n">
        <f aca="false">FIND(",",BZ737)</f>
        <v>19</v>
      </c>
      <c r="CE737" s="329" t="str">
        <f aca="false">IF(ISERROR(CD737),BZ737,MID(BZ737,CD737+2,20)&amp;" "&amp;LEFT(BZ737,CD737-1))&amp;IF(ISERROR(VALUE(CA737)),"",IF(CA737&gt;1," ("&amp;CA737&amp;")",""))</f>
        <v>Whistle Musical instrument</v>
      </c>
      <c r="CF737" s="329" t="n">
        <f aca="false">IF(CC737=" "," ",IF(ISERROR(VALUE(CA737)),CC737,CA737*CC737))</f>
        <v>0</v>
      </c>
      <c r="CG737" s="112" t="n">
        <f aca="false">CG736+IF(AND(BZ737&lt;&gt;0,CA737&lt;&gt;0),1,0)</f>
        <v>21</v>
      </c>
      <c r="CH737" s="112" t="n">
        <f aca="false">IF($BY737&lt;=CH$615,MATCH($BY737,CG$617:CG$863,0))</f>
        <v>0</v>
      </c>
    </row>
    <row r="738" s="32" customFormat="true" ht="12.75" hidden="false" customHeight="false" outlineLevel="0" collapsed="false">
      <c r="U738" s="300" t="n">
        <f aca="false">U737+IF(AA394&lt;&gt;"",1,0)</f>
        <v>0</v>
      </c>
      <c r="V738" s="112" t="n">
        <f aca="false">V737+IF(AA426&lt;&gt;"",1,0)</f>
        <v>0</v>
      </c>
      <c r="W738" s="112" t="n">
        <f aca="false">W737+IF(AA458&lt;&gt;"",1,0)</f>
        <v>0</v>
      </c>
      <c r="X738" s="112" t="n">
        <f aca="false">X737+IF(AA490&lt;&gt;"",1,0)</f>
        <v>0</v>
      </c>
      <c r="Y738" s="112" t="n">
        <f aca="false">Y737+IF(AA522&lt;&gt;"",1,0)</f>
        <v>0</v>
      </c>
      <c r="Z738" s="324" t="n">
        <f aca="false">Z737+IF($T584&lt;&gt;"",1,0)</f>
        <v>0</v>
      </c>
      <c r="AA738" s="300" t="n">
        <f aca="false">IF($BY741&lt;=U$615,MATCH($BY741,U$617:U$737,0))</f>
        <v>0</v>
      </c>
      <c r="AB738" s="112" t="n">
        <f aca="false">IF($BY741&lt;=V$615,MATCH($BY741,V$617:V$737,0))</f>
        <v>0</v>
      </c>
      <c r="AC738" s="112" t="n">
        <f aca="false">IF($BY741&lt;=W$615,MATCH($BY741,W$617:W$737,0))</f>
        <v>0</v>
      </c>
      <c r="AD738" s="112" t="n">
        <f aca="false">IF($BY741&lt;=X$615,MATCH($BY741,X$617:X$737,0))</f>
        <v>0</v>
      </c>
      <c r="AE738" s="112" t="n">
        <f aca="false">IF($BY741&lt;=Y$615,MATCH($BY741,Y$617:Y$737,0))</f>
        <v>0</v>
      </c>
      <c r="AF738" s="324" t="n">
        <f aca="false">IF($BY738&lt;=Z$615,MATCH($BY738,Z$617:Z$737,0))</f>
        <v>0</v>
      </c>
      <c r="AG738" s="325" t="str">
        <f aca="true">IF(AND(AA738&lt;="",AP131=""),OFFSET(Spells!H$2,AA738,0),"")</f>
        <v>Effect</v>
      </c>
      <c r="AH738" s="325" t="str">
        <f aca="true">IF(AND(AB738&lt;="",AP131=""),OFFSET(Spells!R$2,AB738,0),"")</f>
        <v>Effect</v>
      </c>
      <c r="AI738" s="325" t="str">
        <f aca="true">IF(AND(AC738&lt;="",AP131=""),OFFSET(Spells!AB$2,AC738,0),"")</f>
        <v>Effect</v>
      </c>
      <c r="AJ738" s="326" t="str">
        <f aca="true">IF(AND(AD738&lt;="",AP131=""),OFFSET(Spells!AL$2,AD738,0),"")</f>
        <v>Effect</v>
      </c>
      <c r="AK738" s="326" t="str">
        <f aca="true">IF(AND(AE738&lt;="",AP131=""),OFFSET(Spells!AV$2,AE738,0),"")</f>
        <v>Effect</v>
      </c>
      <c r="AL738" s="325" t="str">
        <f aca="true">IF(AND(AF738&lt;="",AP129=""),OFFSET(Spells!$H$2,AF738,0),"")</f>
        <v>Effect</v>
      </c>
      <c r="AM738" s="56"/>
      <c r="AN738" s="42"/>
      <c r="AO738" s="42"/>
      <c r="AP738" s="42"/>
      <c r="AQ738" s="340"/>
      <c r="AR738" s="327" t="str">
        <f aca="false">T142&amp;IF(Z142&lt;&gt;"","("&amp;Z142&amp;")","")</f>
        <v>Throwing Weapons</v>
      </c>
      <c r="AS738" s="112" t="n">
        <f aca="false">X142</f>
        <v>0</v>
      </c>
      <c r="AT738" s="112" t="n">
        <f aca="true">OFFSET(CostSkill,AS738,0)-OFFSET(CostSkill,W142,0)</f>
        <v>0</v>
      </c>
      <c r="AU738" s="112" t="str">
        <f aca="false">Y142</f>
        <v>D</v>
      </c>
      <c r="AV738" s="112" t="n">
        <f aca="false">AV737+IF(AND(AR738&lt;&gt;" ",AS738&gt;0),1,0)</f>
        <v>18</v>
      </c>
      <c r="AW738" s="324"/>
      <c r="BY738" s="333" t="n">
        <f aca="false">BY737+1</f>
        <v>122</v>
      </c>
      <c r="BZ738" s="329" t="str">
        <f aca="false">R258</f>
        <v>Musical instrument, Flute</v>
      </c>
      <c r="CA738" s="112" t="n">
        <f aca="false">V258</f>
        <v>0</v>
      </c>
      <c r="CB738" s="112" t="n">
        <f aca="false">W258</f>
        <v>2</v>
      </c>
      <c r="CC738" s="112" t="n">
        <f aca="false">X258</f>
        <v>2</v>
      </c>
      <c r="CD738" s="329" t="n">
        <f aca="false">FIND(",",BZ738)</f>
        <v>19</v>
      </c>
      <c r="CE738" s="329" t="str">
        <f aca="false">IF(ISERROR(CD738),BZ738,MID(BZ738,CD738+2,20)&amp;" "&amp;LEFT(BZ738,CD738-1))&amp;IF(ISERROR(VALUE(CA738)),"",IF(CA738&gt;1," ("&amp;CA738&amp;")",""))</f>
        <v>Flute Musical instrument</v>
      </c>
      <c r="CF738" s="329" t="n">
        <f aca="false">IF(CC738=" "," ",IF(ISERROR(VALUE(CA738)),CC738,CA738*CC738))</f>
        <v>0</v>
      </c>
      <c r="CG738" s="112" t="n">
        <f aca="false">CG737+IF(AND(BZ738&lt;&gt;0,CA738&lt;&gt;0),1,0)</f>
        <v>21</v>
      </c>
      <c r="CH738" s="112" t="n">
        <f aca="false">IF($BY738&lt;=CH$615,MATCH($BY738,CG$617:CG$863,0))</f>
        <v>0</v>
      </c>
    </row>
    <row r="739" s="32" customFormat="true" ht="12.75" hidden="false" customHeight="false" outlineLevel="0" collapsed="false">
      <c r="U739" s="300" t="n">
        <f aca="false">U738+IF(AA395&lt;&gt;"",1,0)</f>
        <v>0</v>
      </c>
      <c r="V739" s="112" t="n">
        <f aca="false">V738+IF(AA427&lt;&gt;"",1,0)</f>
        <v>0</v>
      </c>
      <c r="W739" s="112" t="n">
        <f aca="false">W738+IF(AA459&lt;&gt;"",1,0)</f>
        <v>0</v>
      </c>
      <c r="X739" s="112" t="n">
        <f aca="false">X738+IF(AA491&lt;&gt;"",1,0)</f>
        <v>0</v>
      </c>
      <c r="Y739" s="112" t="n">
        <f aca="false">Y738+IF(AA523&lt;&gt;"",1,0)</f>
        <v>0</v>
      </c>
      <c r="Z739" s="324" t="n">
        <f aca="false">Z738+IF($T585&lt;&gt;"",1,0)</f>
        <v>0</v>
      </c>
      <c r="AA739" s="300" t="n">
        <f aca="false">IF($BY742&lt;=U$615,MATCH($BY742,U$617:U$737,0))</f>
        <v>0</v>
      </c>
      <c r="AB739" s="112" t="n">
        <f aca="false">IF($BY742&lt;=V$615,MATCH($BY742,V$617:V$737,0))</f>
        <v>0</v>
      </c>
      <c r="AC739" s="112" t="n">
        <f aca="false">IF($BY742&lt;=W$615,MATCH($BY742,W$617:W$737,0))</f>
        <v>0</v>
      </c>
      <c r="AD739" s="112" t="n">
        <f aca="false">IF($BY742&lt;=X$615,MATCH($BY742,X$617:X$737,0))</f>
        <v>0</v>
      </c>
      <c r="AE739" s="112" t="n">
        <f aca="false">IF($BY742&lt;=Y$615,MATCH($BY742,Y$617:Y$737,0))</f>
        <v>0</v>
      </c>
      <c r="AF739" s="324" t="n">
        <f aca="false">IF($BY739&lt;=Z$615,MATCH($BY739,Z$617:Z$737,0))</f>
        <v>0</v>
      </c>
      <c r="AG739" s="325" t="str">
        <f aca="true">IF(AND(AA739&lt;="",AP132=""),OFFSET(Spells!H$2,AA739,0),"")</f>
        <v>Effect</v>
      </c>
      <c r="AH739" s="325" t="str">
        <f aca="true">IF(AND(AB739&lt;="",AP132=""),OFFSET(Spells!R$2,AB739,0),"")</f>
        <v>Effect</v>
      </c>
      <c r="AI739" s="325" t="str">
        <f aca="true">IF(AND(AC739&lt;="",AP132=""),OFFSET(Spells!AB$2,AC739,0),"")</f>
        <v>Effect</v>
      </c>
      <c r="AJ739" s="326" t="str">
        <f aca="true">IF(AND(AD739&lt;="",AP132=""),OFFSET(Spells!AL$2,AD739,0),"")</f>
        <v>Effect</v>
      </c>
      <c r="AK739" s="326" t="str">
        <f aca="true">IF(AND(AE739&lt;="",AP132=""),OFFSET(Spells!AV$2,AE739,0),"")</f>
        <v>Effect</v>
      </c>
      <c r="AL739" s="325" t="str">
        <f aca="true">IF(AND(AF739&lt;="",AP130=""),OFFSET(Spells!$H$2,AF739,0),"")</f>
        <v>Effect</v>
      </c>
      <c r="AM739" s="56"/>
      <c r="AN739" s="42"/>
      <c r="AO739" s="42"/>
      <c r="AP739" s="42"/>
      <c r="AQ739" s="42"/>
      <c r="AR739" s="327" t="str">
        <f aca="false">T143&amp;IF(Z143&lt;&gt;"","("&amp;Z143&amp;")","")</f>
        <v>Tracking</v>
      </c>
      <c r="AS739" s="112" t="n">
        <f aca="false">X143</f>
        <v>0</v>
      </c>
      <c r="AT739" s="112" t="n">
        <f aca="true">OFFSET(CostSkill,AS739,0)-OFFSET(CostSkill,W143,0)</f>
        <v>0</v>
      </c>
      <c r="AU739" s="112" t="str">
        <f aca="false">Y143</f>
        <v>P</v>
      </c>
      <c r="AV739" s="112" t="n">
        <f aca="false">AV738+IF(AND(AR739&lt;&gt;" ",AS739&gt;0),1,0)</f>
        <v>18</v>
      </c>
      <c r="AW739" s="324"/>
      <c r="BY739" s="333" t="n">
        <f aca="false">BY738+1</f>
        <v>123</v>
      </c>
      <c r="BZ739" s="329" t="str">
        <f aca="false">R259</f>
        <v>Musical instrument, Drum</v>
      </c>
      <c r="CA739" s="112" t="n">
        <f aca="false">V259</f>
        <v>0</v>
      </c>
      <c r="CB739" s="112" t="n">
        <f aca="false">W259</f>
        <v>7</v>
      </c>
      <c r="CC739" s="112" t="n">
        <f aca="false">X259</f>
        <v>5</v>
      </c>
      <c r="CD739" s="329" t="n">
        <f aca="false">FIND(",",BZ739)</f>
        <v>19</v>
      </c>
      <c r="CE739" s="329" t="str">
        <f aca="false">IF(ISERROR(CD739),BZ739,MID(BZ739,CD739+2,20)&amp;" "&amp;LEFT(BZ739,CD739-1))&amp;IF(ISERROR(VALUE(CA739)),"",IF(CA739&gt;1," ("&amp;CA739&amp;")",""))</f>
        <v>Drum Musical instrument</v>
      </c>
      <c r="CF739" s="329" t="n">
        <f aca="false">IF(CC739=" "," ",IF(ISERROR(VALUE(CA739)),CC739,CA739*CC739))</f>
        <v>0</v>
      </c>
      <c r="CG739" s="112" t="n">
        <f aca="false">CG738+IF(AND(BZ739&lt;&gt;0,CA739&lt;&gt;0),1,0)</f>
        <v>21</v>
      </c>
      <c r="CH739" s="112" t="n">
        <f aca="false">IF($BY739&lt;=CH$615,MATCH($BY739,CG$617:CG$863,0))</f>
        <v>0</v>
      </c>
    </row>
    <row r="740" s="32" customFormat="true" ht="12.75" hidden="false" customHeight="false" outlineLevel="0" collapsed="false">
      <c r="U740" s="300" t="n">
        <f aca="false">U739+IF(AA396&lt;&gt;"",1,0)</f>
        <v>0</v>
      </c>
      <c r="V740" s="112" t="n">
        <f aca="false">V739+IF(AA428&lt;&gt;"",1,0)</f>
        <v>0</v>
      </c>
      <c r="W740" s="112" t="n">
        <f aca="false">W739+IF(AA460&lt;&gt;"",1,0)</f>
        <v>0</v>
      </c>
      <c r="X740" s="112" t="n">
        <f aca="false">X739+IF(AA492&lt;&gt;"",1,0)</f>
        <v>0</v>
      </c>
      <c r="Y740" s="112" t="n">
        <f aca="false">Y739+IF(AA524&lt;&gt;"",1,0)</f>
        <v>0</v>
      </c>
      <c r="Z740" s="324" t="n">
        <f aca="false">Z739+IF($T586&lt;&gt;"",1,0)</f>
        <v>0</v>
      </c>
      <c r="AA740" s="300" t="n">
        <f aca="false">IF($BY743&lt;=U$615,MATCH($BY743,U$617:U$737,0))</f>
        <v>0</v>
      </c>
      <c r="AB740" s="112" t="n">
        <f aca="false">IF($BY743&lt;=V$615,MATCH($BY743,V$617:V$737,0))</f>
        <v>0</v>
      </c>
      <c r="AC740" s="112" t="n">
        <f aca="false">IF($BY743&lt;=W$615,MATCH($BY743,W$617:W$737,0))</f>
        <v>0</v>
      </c>
      <c r="AD740" s="112" t="n">
        <f aca="false">IF($BY743&lt;=X$615,MATCH($BY743,X$617:X$737,0))</f>
        <v>0</v>
      </c>
      <c r="AE740" s="112" t="n">
        <f aca="false">IF($BY743&lt;=Y$615,MATCH($BY743,Y$617:Y$737,0))</f>
        <v>0</v>
      </c>
      <c r="AF740" s="324" t="n">
        <f aca="false">IF($BY740&lt;=Z$615,MATCH($BY740,Z$617:Z$737,0))</f>
        <v>0</v>
      </c>
      <c r="AG740" s="325" t="str">
        <f aca="true">IF(AND(AA740&lt;="",AP133=""),OFFSET(Spells!H$2,AA740,0),"")</f>
        <v>Effect</v>
      </c>
      <c r="AH740" s="325" t="str">
        <f aca="true">IF(AND(AB740&lt;="",AP133=""),OFFSET(Spells!R$2,AB740,0),"")</f>
        <v>Effect</v>
      </c>
      <c r="AI740" s="325" t="str">
        <f aca="true">IF(AND(AC740&lt;="",AP133=""),OFFSET(Spells!AB$2,AC740,0),"")</f>
        <v>Effect</v>
      </c>
      <c r="AJ740" s="326" t="str">
        <f aca="true">IF(AND(AD740&lt;="",AP133=""),OFFSET(Spells!AL$2,AD740,0),"")</f>
        <v>Effect</v>
      </c>
      <c r="AK740" s="326" t="str">
        <f aca="true">IF(AND(AE740&lt;="",AP133=""),OFFSET(Spells!AV$2,AE740,0),"")</f>
        <v>Effect</v>
      </c>
      <c r="AL740" s="325" t="str">
        <f aca="true">IF(AND(AF740&lt;="",AP131=""),OFFSET(Spells!$H$2,AF740,0),"")</f>
        <v>Effect</v>
      </c>
      <c r="AQ740" s="343"/>
      <c r="AR740" s="327" t="str">
        <f aca="false">T144&amp;IF(Z144&lt;&gt;"","("&amp;Z144&amp;")","")</f>
        <v>Trap Initiative</v>
      </c>
      <c r="AS740" s="112" t="n">
        <f aca="false">X144</f>
        <v>0</v>
      </c>
      <c r="AT740" s="112" t="n">
        <f aca="true">OFFSET(CostSkill,AS740,0)-OFFSET(CostSkill,W144,0)</f>
        <v>0</v>
      </c>
      <c r="AU740" s="112" t="str">
        <f aca="false">Y144</f>
        <v>D</v>
      </c>
      <c r="AV740" s="112" t="n">
        <f aca="false">AV739+IF(AND(AR740&lt;&gt;" ",AS740&gt;0),1,0)</f>
        <v>18</v>
      </c>
      <c r="AW740" s="324"/>
      <c r="BY740" s="333" t="n">
        <f aca="false">BY739+1</f>
        <v>124</v>
      </c>
      <c r="BZ740" s="329" t="str">
        <f aca="false">R260</f>
        <v>Musical instrument, Lute</v>
      </c>
      <c r="CA740" s="112" t="n">
        <f aca="false">V260</f>
        <v>0</v>
      </c>
      <c r="CB740" s="112" t="n">
        <f aca="false">W260</f>
        <v>25</v>
      </c>
      <c r="CC740" s="112" t="n">
        <f aca="false">X260</f>
        <v>6</v>
      </c>
      <c r="CD740" s="329" t="n">
        <f aca="false">FIND(",",BZ740)</f>
        <v>19</v>
      </c>
      <c r="CE740" s="329" t="str">
        <f aca="false">IF(ISERROR(CD740),BZ740,MID(BZ740,CD740+2,20)&amp;" "&amp;LEFT(BZ740,CD740-1))&amp;IF(ISERROR(VALUE(CA740)),"",IF(CA740&gt;1," ("&amp;CA740&amp;")",""))</f>
        <v>Lute Musical instrument</v>
      </c>
      <c r="CF740" s="329" t="n">
        <f aca="false">IF(CC740=" "," ",IF(ISERROR(VALUE(CA740)),CC740,CA740*CC740))</f>
        <v>0</v>
      </c>
      <c r="CG740" s="112" t="n">
        <f aca="false">CG739+IF(AND(BZ740&lt;&gt;0,CA740&lt;&gt;0),1,0)</f>
        <v>21</v>
      </c>
      <c r="CH740" s="112" t="n">
        <f aca="false">IF($BY740&lt;=CH$615,MATCH($BY740,CG$617:CG$863,0))</f>
        <v>0</v>
      </c>
    </row>
    <row r="741" s="32" customFormat="true" ht="12.75" hidden="false" customHeight="false" outlineLevel="0" collapsed="false">
      <c r="U741" s="300" t="n">
        <f aca="false">U740+IF(AA397&lt;&gt;"",1,0)</f>
        <v>0</v>
      </c>
      <c r="V741" s="112" t="n">
        <f aca="false">V740+IF(AA429&lt;&gt;"",1,0)</f>
        <v>0</v>
      </c>
      <c r="W741" s="112" t="n">
        <f aca="false">W740+IF(AA461&lt;&gt;"",1,0)</f>
        <v>0</v>
      </c>
      <c r="X741" s="112" t="n">
        <f aca="false">X740+IF(AA493&lt;&gt;"",1,0)</f>
        <v>0</v>
      </c>
      <c r="Y741" s="112" t="n">
        <f aca="false">Y740+IF(AA525&lt;&gt;"",1,0)</f>
        <v>0</v>
      </c>
      <c r="Z741" s="324" t="n">
        <f aca="false">Z740+IF($T587&lt;&gt;"",1,0)</f>
        <v>0</v>
      </c>
      <c r="AA741" s="300" t="n">
        <f aca="false">IF($BY744&lt;=U$615,MATCH($BY744,U$617:U$737,0))</f>
        <v>0</v>
      </c>
      <c r="AB741" s="112" t="n">
        <f aca="false">IF($BY744&lt;=V$615,MATCH($BY744,V$617:V$737,0))</f>
        <v>0</v>
      </c>
      <c r="AC741" s="112" t="n">
        <f aca="false">IF($BY744&lt;=W$615,MATCH($BY744,W$617:W$737,0))</f>
        <v>0</v>
      </c>
      <c r="AD741" s="112" t="n">
        <f aca="false">IF($BY744&lt;=X$615,MATCH($BY744,X$617:X$737,0))</f>
        <v>0</v>
      </c>
      <c r="AE741" s="112" t="n">
        <f aca="false">IF($BY744&lt;=Y$615,MATCH($BY744,Y$617:Y$737,0))</f>
        <v>0</v>
      </c>
      <c r="AF741" s="324" t="n">
        <f aca="false">IF($BY741&lt;=Z$615,MATCH($BY741,Z$617:Z$737,0))</f>
        <v>0</v>
      </c>
      <c r="AG741" s="325" t="str">
        <f aca="true">IF(AND(AA741&lt;="",AP134=""),OFFSET(Spells!H$2,AA741,0),"")</f>
        <v>Effect</v>
      </c>
      <c r="AH741" s="325" t="str">
        <f aca="true">IF(AND(AB741&lt;="",AP134=""),OFFSET(Spells!R$2,AB741,0),"")</f>
        <v>Effect</v>
      </c>
      <c r="AI741" s="325" t="str">
        <f aca="true">IF(AND(AC741&lt;="",AP134=""),OFFSET(Spells!AB$2,AC741,0),"")</f>
        <v>Effect</v>
      </c>
      <c r="AJ741" s="326" t="str">
        <f aca="true">IF(AND(AD741&lt;="",AP134=""),OFFSET(Spells!AL$2,AD741,0),"")</f>
        <v>Effect</v>
      </c>
      <c r="AK741" s="326" t="str">
        <f aca="true">IF(AND(AE741&lt;="",AP134=""),OFFSET(Spells!AV$2,AE741,0),"")</f>
        <v>Effect</v>
      </c>
      <c r="AL741" s="325" t="str">
        <f aca="true">IF(AND(AF741&lt;="",AP132=""),OFFSET(Spells!$H$2,AF741,0),"")</f>
        <v>Effect</v>
      </c>
      <c r="AQ741" s="343"/>
      <c r="AR741" s="327" t="str">
        <f aca="false">T145&amp;IF(Z145&lt;&gt;"","("&amp;Z145&amp;")","")</f>
        <v>Trick Riding</v>
      </c>
      <c r="AS741" s="112" t="n">
        <f aca="false">X145</f>
        <v>0</v>
      </c>
      <c r="AT741" s="112" t="n">
        <f aca="true">OFFSET(CostSkill,AS741,0)-OFFSET(CostSkill,W145,0)</f>
        <v>0</v>
      </c>
      <c r="AU741" s="112" t="str">
        <f aca="false">Y145</f>
        <v>D</v>
      </c>
      <c r="AV741" s="112" t="n">
        <f aca="false">AV740+IF(AND(AR741&lt;&gt;" ",AS741&gt;0),1,0)</f>
        <v>18</v>
      </c>
      <c r="AW741" s="324"/>
      <c r="BY741" s="333" t="n">
        <f aca="false">BY740+1</f>
        <v>125</v>
      </c>
      <c r="BZ741" s="329" t="str">
        <f aca="false">R261</f>
        <v>Musical instrument, Horn</v>
      </c>
      <c r="CA741" s="112" t="n">
        <f aca="false">V261</f>
        <v>0</v>
      </c>
      <c r="CB741" s="112" t="n">
        <f aca="false">W261</f>
        <v>70</v>
      </c>
      <c r="CC741" s="112" t="n">
        <f aca="false">X261</f>
        <v>7</v>
      </c>
      <c r="CD741" s="329" t="n">
        <f aca="false">FIND(",",BZ741)</f>
        <v>19</v>
      </c>
      <c r="CE741" s="329" t="str">
        <f aca="false">IF(ISERROR(CD741),BZ741,MID(BZ741,CD741+2,20)&amp;" "&amp;LEFT(BZ741,CD741-1))&amp;IF(ISERROR(VALUE(CA741)),"",IF(CA741&gt;1," ("&amp;CA741&amp;")",""))</f>
        <v>Horn Musical instrument</v>
      </c>
      <c r="CF741" s="329" t="n">
        <f aca="false">IF(CC741=" "," ",IF(ISERROR(VALUE(CA741)),CC741,CA741*CC741))</f>
        <v>0</v>
      </c>
      <c r="CG741" s="112" t="n">
        <f aca="false">CG740+IF(AND(BZ741&lt;&gt;0,CA741&lt;&gt;0),1,0)</f>
        <v>21</v>
      </c>
      <c r="CH741" s="112" t="n">
        <f aca="false">IF($BY741&lt;=CH$615,MATCH($BY741,CG$617:CG$863,0))</f>
        <v>0</v>
      </c>
    </row>
    <row r="742" s="32" customFormat="true" ht="12.75" hidden="false" customHeight="false" outlineLevel="0" collapsed="false">
      <c r="U742" s="300" t="n">
        <f aca="false">U741+IF(AA398&lt;&gt;"",1,0)</f>
        <v>0</v>
      </c>
      <c r="V742" s="112" t="n">
        <f aca="false">V741+IF(AA430&lt;&gt;"",1,0)</f>
        <v>0</v>
      </c>
      <c r="W742" s="112" t="n">
        <f aca="false">W741+IF(AA462&lt;&gt;"",1,0)</f>
        <v>0</v>
      </c>
      <c r="X742" s="112" t="n">
        <f aca="false">X741+IF(AA494&lt;&gt;"",1,0)</f>
        <v>0</v>
      </c>
      <c r="Y742" s="112" t="n">
        <f aca="false">Y741+IF(AA526&lt;&gt;"",1,0)</f>
        <v>0</v>
      </c>
      <c r="Z742" s="324" t="n">
        <f aca="false">Z741+IF($T588&lt;&gt;"",1,0)</f>
        <v>0</v>
      </c>
      <c r="AA742" s="300" t="n">
        <f aca="false">IF($BY745&lt;=U$615,MATCH($BY745,U$617:U$737,0))</f>
        <v>0</v>
      </c>
      <c r="AB742" s="112" t="n">
        <f aca="false">IF($BY745&lt;=V$615,MATCH($BY745,V$617:V$737,0))</f>
        <v>0</v>
      </c>
      <c r="AC742" s="112" t="n">
        <f aca="false">IF($BY745&lt;=W$615,MATCH($BY745,W$617:W$737,0))</f>
        <v>0</v>
      </c>
      <c r="AD742" s="112" t="n">
        <f aca="false">IF($BY745&lt;=X$615,MATCH($BY745,X$617:X$737,0))</f>
        <v>0</v>
      </c>
      <c r="AE742" s="112" t="n">
        <f aca="false">IF($BY745&lt;=Y$615,MATCH($BY745,Y$617:Y$737,0))</f>
        <v>0</v>
      </c>
      <c r="AF742" s="324" t="n">
        <f aca="false">IF($BY742&lt;=Z$615,MATCH($BY742,Z$617:Z$737,0))</f>
        <v>0</v>
      </c>
      <c r="AG742" s="325" t="str">
        <f aca="true">IF(AND(AA742&lt;="",AP135=""),OFFSET(Spells!H$2,AA742,0),"")</f>
        <v>Effect</v>
      </c>
      <c r="AH742" s="325" t="str">
        <f aca="true">IF(AND(AB742&lt;="",AP135=""),OFFSET(Spells!R$2,AB742,0),"")</f>
        <v>Effect</v>
      </c>
      <c r="AI742" s="325" t="str">
        <f aca="true">IF(AND(AC742&lt;="",AP135=""),OFFSET(Spells!AB$2,AC742,0),"")</f>
        <v>Effect</v>
      </c>
      <c r="AJ742" s="326" t="str">
        <f aca="true">IF(AND(AD742&lt;="",AP135=""),OFFSET(Spells!AL$2,AD742,0),"")</f>
        <v>Effect</v>
      </c>
      <c r="AK742" s="326" t="str">
        <f aca="true">IF(AND(AE742&lt;="",AP135=""),OFFSET(Spells!AV$2,AE742,0),"")</f>
        <v>Effect</v>
      </c>
      <c r="AL742" s="325" t="str">
        <f aca="true">IF(AND(AF742&lt;="",AP133=""),OFFSET(Spells!$H$2,AF742,0),"")</f>
        <v>Effect</v>
      </c>
      <c r="AQ742" s="343"/>
      <c r="AR742" s="327" t="str">
        <f aca="false">T146&amp;IF(Z146&lt;&gt;"","("&amp;Z146&amp;")","")</f>
        <v>Unarmed Combat</v>
      </c>
      <c r="AS742" s="112" t="n">
        <f aca="false">X146</f>
        <v>0</v>
      </c>
      <c r="AT742" s="112" t="n">
        <f aca="true">OFFSET(CostSkill,AS742,0)-OFFSET(CostSkill,W146,0)</f>
        <v>0</v>
      </c>
      <c r="AU742" s="112" t="str">
        <f aca="false">Y146</f>
        <v>S</v>
      </c>
      <c r="AV742" s="112" t="n">
        <f aca="false">AV741+IF(AND(AR742&lt;&gt;" ",AS742&gt;0),1,0)</f>
        <v>18</v>
      </c>
      <c r="AW742" s="324"/>
      <c r="BY742" s="333" t="n">
        <f aca="false">BY741+1</f>
        <v>126</v>
      </c>
      <c r="BZ742" s="329" t="n">
        <f aca="false">R262</f>
        <v>0</v>
      </c>
      <c r="CA742" s="112" t="n">
        <f aca="false">V262</f>
        <v>0</v>
      </c>
      <c r="CB742" s="112" t="n">
        <f aca="false">W262</f>
        <v>0</v>
      </c>
      <c r="CC742" s="112" t="n">
        <f aca="false">X262</f>
        <v>0</v>
      </c>
      <c r="CD742" s="329" t="e">
        <f aca="false">FIND(",",BZ742)</f>
        <v>#VALUE!</v>
      </c>
      <c r="CE742" s="329" t="str">
        <f aca="false">IF(ISERROR(CD742),BZ742,MID(BZ742,CD742+2,20)&amp;" "&amp;LEFT(BZ742,CD742-1))&amp;IF(ISERROR(VALUE(CA742)),"",IF(CA742&gt;1," ("&amp;CA742&amp;")",""))</f>
        <v>0</v>
      </c>
      <c r="CF742" s="329" t="n">
        <f aca="false">IF(CC742=" "," ",IF(ISERROR(VALUE(CA742)),CC742,CA742*CC742))</f>
        <v>0</v>
      </c>
      <c r="CG742" s="112" t="n">
        <f aca="false">CG741+IF(AND(BZ742&lt;&gt;0,CA742&lt;&gt;0),1,0)</f>
        <v>21</v>
      </c>
      <c r="CH742" s="112" t="n">
        <f aca="false">IF($BY742&lt;=CH$615,MATCH($BY742,CG$617:CG$863,0))</f>
        <v>0</v>
      </c>
    </row>
    <row r="743" s="32" customFormat="true" ht="12.75" hidden="false" customHeight="false" outlineLevel="0" collapsed="false">
      <c r="U743" s="300" t="n">
        <f aca="false">U742+IF(AA399&lt;&gt;"",1,0)</f>
        <v>0</v>
      </c>
      <c r="V743" s="112" t="n">
        <f aca="false">V742+IF(AA431&lt;&gt;"",1,0)</f>
        <v>0</v>
      </c>
      <c r="W743" s="112" t="n">
        <f aca="false">W742+IF(AA463&lt;&gt;"",1,0)</f>
        <v>0</v>
      </c>
      <c r="X743" s="112" t="n">
        <f aca="false">X742+IF(AA495&lt;&gt;"",1,0)</f>
        <v>0</v>
      </c>
      <c r="Y743" s="112" t="n">
        <f aca="false">Y742+IF(AA527&lt;&gt;"",1,0)</f>
        <v>0</v>
      </c>
      <c r="Z743" s="324" t="n">
        <f aca="false">Z742+IF($T589&lt;&gt;"",1,0)</f>
        <v>0</v>
      </c>
      <c r="AA743" s="300" t="n">
        <f aca="false">IF($BY746&lt;=U$615,MATCH($BY746,U$617:U$737,0))</f>
        <v>0</v>
      </c>
      <c r="AB743" s="112" t="n">
        <f aca="false">IF($BY746&lt;=V$615,MATCH($BY746,V$617:V$737,0))</f>
        <v>0</v>
      </c>
      <c r="AC743" s="112" t="n">
        <f aca="false">IF($BY746&lt;=W$615,MATCH($BY746,W$617:W$737,0))</f>
        <v>0</v>
      </c>
      <c r="AD743" s="112" t="n">
        <f aca="false">IF($BY746&lt;=X$615,MATCH($BY746,X$617:X$737,0))</f>
        <v>0</v>
      </c>
      <c r="AE743" s="112" t="n">
        <f aca="false">IF($BY746&lt;=Y$615,MATCH($BY746,Y$617:Y$737,0))</f>
        <v>0</v>
      </c>
      <c r="AF743" s="324" t="n">
        <f aca="false">IF($BY743&lt;=Z$615,MATCH($BY743,Z$617:Z$737,0))</f>
        <v>0</v>
      </c>
      <c r="AG743" s="325" t="str">
        <f aca="true">IF(AND(AA743&lt;="",AP136=""),OFFSET(Spells!H$2,AA743,0),"")</f>
        <v>Effect</v>
      </c>
      <c r="AH743" s="325" t="str">
        <f aca="true">IF(AND(AB743&lt;="",AP136=""),OFFSET(Spells!R$2,AB743,0),"")</f>
        <v>Effect</v>
      </c>
      <c r="AI743" s="325" t="str">
        <f aca="true">IF(AND(AC743&lt;="",AP136=""),OFFSET(Spells!AB$2,AC743,0),"")</f>
        <v>Effect</v>
      </c>
      <c r="AJ743" s="326" t="str">
        <f aca="true">IF(AND(AD743&lt;="",AP136=""),OFFSET(Spells!AL$2,AD743,0),"")</f>
        <v>Effect</v>
      </c>
      <c r="AK743" s="326" t="str">
        <f aca="true">IF(AND(AE743&lt;="",AP136=""),OFFSET(Spells!AV$2,AE743,0),"")</f>
        <v>Effect</v>
      </c>
      <c r="AL743" s="325" t="str">
        <f aca="true">IF(AND(AF743&lt;="",AP134=""),OFFSET(Spells!$H$2,AF743,0),"")</f>
        <v>Effect</v>
      </c>
      <c r="AQ743" s="343"/>
      <c r="AR743" s="327" t="str">
        <f aca="false">T147&amp;IF(Z147&lt;&gt;"","("&amp;Z147&amp;")","")</f>
        <v>Wheeling Attack</v>
      </c>
      <c r="AS743" s="112" t="n">
        <f aca="false">X147</f>
        <v>0</v>
      </c>
      <c r="AT743" s="112" t="n">
        <f aca="true">OFFSET(CostSkill,AS743,0)-OFFSET(CostSkill,W147,0)</f>
        <v>0</v>
      </c>
      <c r="AU743" s="112" t="str">
        <f aca="false">Y147</f>
        <v>D</v>
      </c>
      <c r="AV743" s="112" t="n">
        <f aca="false">AV742+IF(AND(AR743&lt;&gt;" ",AS743&gt;0),1,0)</f>
        <v>18</v>
      </c>
      <c r="AW743" s="324"/>
      <c r="BY743" s="333" t="n">
        <f aca="false">BY742+1</f>
        <v>127</v>
      </c>
      <c r="BZ743" s="329" t="n">
        <f aca="false">R263</f>
        <v>0</v>
      </c>
      <c r="CA743" s="112" t="n">
        <f aca="false">V263</f>
        <v>0</v>
      </c>
      <c r="CB743" s="112" t="n">
        <f aca="false">W263</f>
        <v>0</v>
      </c>
      <c r="CC743" s="112" t="n">
        <f aca="false">X263</f>
        <v>0</v>
      </c>
      <c r="CD743" s="329" t="e">
        <f aca="false">FIND(",",BZ743)</f>
        <v>#VALUE!</v>
      </c>
      <c r="CE743" s="329" t="str">
        <f aca="false">IF(ISERROR(CD743),BZ743,MID(BZ743,CD743+2,20)&amp;" "&amp;LEFT(BZ743,CD743-1))&amp;IF(ISERROR(VALUE(CA743)),"",IF(CA743&gt;1," ("&amp;CA743&amp;")",""))</f>
        <v>0</v>
      </c>
      <c r="CF743" s="329" t="n">
        <f aca="false">IF(CC743=" "," ",IF(ISERROR(VALUE(CA743)),CC743,CA743*CC743))</f>
        <v>0</v>
      </c>
      <c r="CG743" s="112" t="n">
        <f aca="false">CG742+IF(AND(BZ743&lt;&gt;0,CA743&lt;&gt;0),1,0)</f>
        <v>21</v>
      </c>
      <c r="CH743" s="112" t="n">
        <f aca="false">IF($BY743&lt;=CH$615,MATCH($BY743,CG$617:CG$863,0))</f>
        <v>0</v>
      </c>
    </row>
    <row r="744" s="32" customFormat="true" ht="12.75" hidden="false" customHeight="false" outlineLevel="0" collapsed="false">
      <c r="U744" s="300" t="n">
        <f aca="false">U743+IF(AA400&lt;&gt;"",1,0)</f>
        <v>0</v>
      </c>
      <c r="V744" s="112" t="n">
        <f aca="false">V743+IF(AA432&lt;&gt;"",1,0)</f>
        <v>0</v>
      </c>
      <c r="W744" s="112" t="n">
        <f aca="false">W743+IF(AA464&lt;&gt;"",1,0)</f>
        <v>0</v>
      </c>
      <c r="X744" s="112" t="n">
        <f aca="false">X743+IF(AA496&lt;&gt;"",1,0)</f>
        <v>0</v>
      </c>
      <c r="Y744" s="112" t="n">
        <f aca="false">Y743+IF(AA528&lt;&gt;"",1,0)</f>
        <v>0</v>
      </c>
      <c r="Z744" s="324" t="n">
        <f aca="false">Z743+IF($T590&lt;&gt;"",1,0)</f>
        <v>0</v>
      </c>
      <c r="AA744" s="300" t="n">
        <f aca="false">IF($BY747&lt;=U$615,MATCH($BY747,U$617:U$737,0))</f>
        <v>0</v>
      </c>
      <c r="AB744" s="112" t="n">
        <f aca="false">IF($BY747&lt;=V$615,MATCH($BY747,V$617:V$737,0))</f>
        <v>0</v>
      </c>
      <c r="AC744" s="112" t="n">
        <f aca="false">IF($BY747&lt;=W$615,MATCH($BY747,W$617:W$737,0))</f>
        <v>0</v>
      </c>
      <c r="AD744" s="112" t="n">
        <f aca="false">IF($BY747&lt;=X$615,MATCH($BY747,X$617:X$737,0))</f>
        <v>0</v>
      </c>
      <c r="AE744" s="112" t="n">
        <f aca="false">IF($BY747&lt;=Y$615,MATCH($BY747,Y$617:Y$737,0))</f>
        <v>0</v>
      </c>
      <c r="AF744" s="324" t="n">
        <f aca="false">IF($BY744&lt;=Z$615,MATCH($BY744,Z$617:Z$737,0))</f>
        <v>0</v>
      </c>
      <c r="AG744" s="325" t="str">
        <f aca="true">IF(AND(AA744&lt;="",AP137=""),OFFSET(Spells!H$2,AA744,0),"")</f>
        <v>Effect</v>
      </c>
      <c r="AH744" s="325" t="str">
        <f aca="true">IF(AND(AB744&lt;="",AP137=""),OFFSET(Spells!R$2,AB744,0),"")</f>
        <v>Effect</v>
      </c>
      <c r="AI744" s="325" t="str">
        <f aca="true">IF(AND(AC744&lt;="",AP137=""),OFFSET(Spells!AB$2,AC744,0),"")</f>
        <v>Effect</v>
      </c>
      <c r="AJ744" s="326" t="str">
        <f aca="true">IF(AND(AD744&lt;="",AP137=""),OFFSET(Spells!AL$2,AD744,0),"")</f>
        <v>Effect</v>
      </c>
      <c r="AK744" s="326" t="str">
        <f aca="true">IF(AND(AE744&lt;="",AP137=""),OFFSET(Spells!AV$2,AE744,0),"")</f>
        <v>Effect</v>
      </c>
      <c r="AL744" s="325" t="str">
        <f aca="true">IF(AND(AF744&lt;="",AP135=""),OFFSET(Spells!$H$2,AF744,0),"")</f>
        <v>Effect</v>
      </c>
      <c r="AR744" s="327" t="str">
        <f aca="false">T148&amp;IF(Z148&lt;&gt;"","("&amp;Z148&amp;")","")</f>
        <v>Wheeling Defense</v>
      </c>
      <c r="AS744" s="112" t="n">
        <f aca="false">X148</f>
        <v>0</v>
      </c>
      <c r="AT744" s="112" t="n">
        <f aca="true">OFFSET(CostSkill,AS744,0)-OFFSET(CostSkill,W148,0)</f>
        <v>0</v>
      </c>
      <c r="AU744" s="112" t="str">
        <f aca="false">Y148</f>
        <v>D</v>
      </c>
      <c r="AV744" s="112" t="n">
        <f aca="false">AV743+IF(AND(AR744&lt;&gt;" ",AS744&gt;0),1,0)</f>
        <v>18</v>
      </c>
      <c r="AW744" s="324"/>
      <c r="BY744" s="333" t="n">
        <f aca="false">BY743+1</f>
        <v>128</v>
      </c>
      <c r="BZ744" s="329" t="n">
        <f aca="false">R264</f>
        <v>0</v>
      </c>
      <c r="CA744" s="112" t="n">
        <f aca="false">V264</f>
        <v>0</v>
      </c>
      <c r="CB744" s="112" t="n">
        <f aca="false">W264</f>
        <v>0</v>
      </c>
      <c r="CC744" s="112" t="n">
        <f aca="false">X264</f>
        <v>0</v>
      </c>
      <c r="CD744" s="329" t="e">
        <f aca="false">FIND(",",BZ744)</f>
        <v>#VALUE!</v>
      </c>
      <c r="CE744" s="329" t="str">
        <f aca="false">IF(ISERROR(CD744),BZ744,MID(BZ744,CD744+2,20)&amp;" "&amp;LEFT(BZ744,CD744-1))&amp;IF(ISERROR(VALUE(CA744)),"",IF(CA744&gt;1," ("&amp;CA744&amp;")",""))</f>
        <v>0</v>
      </c>
      <c r="CF744" s="329" t="n">
        <f aca="false">IF(CC744=" "," ",IF(ISERROR(VALUE(CA744)),CC744,CA744*CC744))</f>
        <v>0</v>
      </c>
      <c r="CG744" s="112" t="n">
        <f aca="false">CG743+IF(AND(BZ744&lt;&gt;0,CA744&lt;&gt;0),1,0)</f>
        <v>21</v>
      </c>
      <c r="CH744" s="112" t="n">
        <f aca="false">IF($BY744&lt;=CH$615,MATCH($BY744,CG$617:CG$863,0))</f>
        <v>0</v>
      </c>
    </row>
    <row r="745" s="32" customFormat="true" ht="12.75" hidden="false" customHeight="false" outlineLevel="0" collapsed="false">
      <c r="U745" s="288" t="n">
        <f aca="false">U744+IF(AA401&lt;&gt;"",1,0)</f>
        <v>0</v>
      </c>
      <c r="V745" s="175" t="n">
        <f aca="false">V744+IF(AA433&lt;&gt;"",1,0)</f>
        <v>0</v>
      </c>
      <c r="W745" s="175" t="n">
        <f aca="false">W744+IF(AA465&lt;&gt;"",1,0)</f>
        <v>0</v>
      </c>
      <c r="X745" s="175" t="n">
        <f aca="false">X744+IF(AA497&lt;&gt;"",1,0)</f>
        <v>0</v>
      </c>
      <c r="Y745" s="112" t="n">
        <f aca="false">Y744+IF(AA529&lt;&gt;"",1,0)</f>
        <v>0</v>
      </c>
      <c r="Z745" s="289" t="n">
        <f aca="false">Z744+IF($T591&lt;&gt;"",1,0)</f>
        <v>0</v>
      </c>
      <c r="AA745" s="288" t="n">
        <f aca="false">IF($BY748&lt;=U$615,MATCH($BY748,U$617:U$737,0))</f>
        <v>0</v>
      </c>
      <c r="AB745" s="175" t="n">
        <f aca="false">IF($BY748&lt;=V$615,MATCH($BY748,V$617:V$737,0))</f>
        <v>0</v>
      </c>
      <c r="AC745" s="175" t="n">
        <f aca="false">IF($BY748&lt;=W$615,MATCH($BY748,W$617:W$737,0))</f>
        <v>0</v>
      </c>
      <c r="AD745" s="175" t="n">
        <f aca="false">IF($BY748&lt;=X$615,MATCH($BY748,X$617:X$737,0))</f>
        <v>0</v>
      </c>
      <c r="AE745" s="112" t="n">
        <f aca="false">IF($BY748&lt;=Y$615,MATCH($BY748,Y$617:Y$737,0))</f>
        <v>0</v>
      </c>
      <c r="AF745" s="289" t="n">
        <f aca="false">IF($BY745&lt;=Z$615,MATCH($BY745,Z$617:Z$737,0))</f>
        <v>0</v>
      </c>
      <c r="AG745" s="325" t="str">
        <f aca="true">IF(AND(AA745&lt;="",AP138=""),OFFSET(Spells!H$2,AA745,0),"")</f>
        <v>Effect</v>
      </c>
      <c r="AH745" s="325" t="str">
        <f aca="true">IF(AND(AB745&lt;="",AP138=""),OFFSET(Spells!R$2,AB745,0),"")</f>
        <v>Effect</v>
      </c>
      <c r="AI745" s="325" t="str">
        <f aca="true">IF(AND(AC745&lt;="",AP138=""),OFFSET(Spells!AB$2,AC745,0),"")</f>
        <v>Effect</v>
      </c>
      <c r="AJ745" s="326" t="str">
        <f aca="true">IF(AND(AD745&lt;="",AP138=""),OFFSET(Spells!AL$2,AD745,0),"")</f>
        <v>Effect</v>
      </c>
      <c r="AK745" s="326" t="str">
        <f aca="true">IF(AND(AE745&lt;="",AP138=""),OFFSET(Spells!AV$2,AE745,0),"")</f>
        <v>Effect</v>
      </c>
      <c r="AL745" s="325" t="str">
        <f aca="true">IF(AND(AF745&lt;="",AP136=""),OFFSET(Spells!$H$2,AF745,0),"")</f>
        <v>Effect</v>
      </c>
      <c r="AR745" s="327" t="str">
        <f aca="false">T149&amp;IF(Z149&lt;&gt;"","("&amp;Z149&amp;")","")</f>
        <v>Wilderness Survival(Forests)</v>
      </c>
      <c r="AS745" s="112" t="n">
        <f aca="false">X149</f>
        <v>1</v>
      </c>
      <c r="AT745" s="112" t="n">
        <f aca="true">OFFSET(CostSkill,AS745,0)-OFFSET(CostSkill,W149,0)</f>
        <v>200</v>
      </c>
      <c r="AU745" s="112" t="str">
        <f aca="false">Y149</f>
        <v>P</v>
      </c>
      <c r="AV745" s="112" t="n">
        <f aca="false">AV744+IF(AND(AR745&lt;&gt;" ",AS745&gt;0),1,0)</f>
        <v>19</v>
      </c>
      <c r="AW745" s="324"/>
      <c r="BY745" s="333" t="n">
        <f aca="false">BY744+1</f>
        <v>129</v>
      </c>
      <c r="BZ745" s="329" t="str">
        <f aca="false">J253</f>
        <v>Trail Rations (week)</v>
      </c>
      <c r="CA745" s="112" t="n">
        <f aca="false">N253</f>
        <v>0</v>
      </c>
      <c r="CB745" s="112" t="n">
        <f aca="false">O253</f>
        <v>10</v>
      </c>
      <c r="CC745" s="112" t="n">
        <f aca="false">P253</f>
        <v>8</v>
      </c>
      <c r="CD745" s="329" t="e">
        <f aca="false">FIND(",",BZ745)</f>
        <v>#VALUE!</v>
      </c>
      <c r="CE745" s="329" t="str">
        <f aca="false">IF(ISERROR(CD745),BZ745,MID(BZ745,CD745+2,20)&amp;" "&amp;LEFT(BZ745,CD745-1))&amp;IF(ISERROR(VALUE(CA745)),"",IF(CA745&gt;1," ("&amp;CA745&amp;")",""))</f>
        <v>Trail Rations (week)</v>
      </c>
      <c r="CF745" s="329" t="n">
        <f aca="false">IF(CC745=" "," ",IF(ISERROR(VALUE(CA745)),CC745,CA745*CC745))</f>
        <v>0</v>
      </c>
      <c r="CG745" s="112" t="n">
        <f aca="false">CG744+IF(AND(BZ745&lt;&gt;0,CA745&lt;&gt;0),1,0)</f>
        <v>21</v>
      </c>
      <c r="CH745" s="112" t="n">
        <f aca="false">IF($BY745&lt;=CH$615,MATCH($BY745,CG$617:CG$863,0))</f>
        <v>0</v>
      </c>
    </row>
    <row r="746" s="32" customFormat="true" ht="12.75" hidden="false" customHeight="false" outlineLevel="0" collapsed="false">
      <c r="AR746" s="327" t="str">
        <f aca="false">T150&amp;IF(Z150&lt;&gt;"","("&amp;Z150&amp;")","")</f>
        <v>Wound Balance</v>
      </c>
      <c r="AS746" s="112" t="n">
        <f aca="false">X150</f>
        <v>0</v>
      </c>
      <c r="AT746" s="112" t="n">
        <f aca="true">OFFSET(CostSkill,AS746,0)-OFFSET(CostSkill,W150,0)</f>
        <v>0</v>
      </c>
      <c r="AU746" s="112" t="str">
        <f aca="false">Y150</f>
        <v>S</v>
      </c>
      <c r="AV746" s="112" t="n">
        <f aca="false">AV745+IF(AND(AR746&lt;&gt;" ",AS746&gt;0),1,0)</f>
        <v>19</v>
      </c>
      <c r="AW746" s="324"/>
      <c r="BY746" s="333" t="n">
        <f aca="false">BY745+1</f>
        <v>130</v>
      </c>
      <c r="BZ746" s="329" t="str">
        <f aca="false">J254</f>
        <v>Dwarf Mine Rations (week)</v>
      </c>
      <c r="CA746" s="112" t="n">
        <f aca="false">N254</f>
        <v>0</v>
      </c>
      <c r="CB746" s="112" t="n">
        <f aca="false">O254</f>
        <v>25</v>
      </c>
      <c r="CC746" s="112" t="n">
        <f aca="false">P254</f>
        <v>6</v>
      </c>
      <c r="CD746" s="329" t="e">
        <f aca="false">FIND(",",BZ746)</f>
        <v>#VALUE!</v>
      </c>
      <c r="CE746" s="329" t="str">
        <f aca="false">IF(ISERROR(CD746),BZ746,MID(BZ746,CD746+2,20)&amp;" "&amp;LEFT(BZ746,CD746-1))&amp;IF(ISERROR(VALUE(CA746)),"",IF(CA746&gt;1," ("&amp;CA746&amp;")",""))</f>
        <v>Dwarf Mine Rations (week)</v>
      </c>
      <c r="CF746" s="329" t="n">
        <f aca="false">IF(CC746=" "," ",IF(ISERROR(VALUE(CA746)),CC746,CA746*CC746))</f>
        <v>0</v>
      </c>
      <c r="CG746" s="112" t="n">
        <f aca="false">CG745+IF(AND(BZ746&lt;&gt;0,CA746&lt;&gt;0),1,0)</f>
        <v>21</v>
      </c>
      <c r="CH746" s="112" t="n">
        <f aca="false">IF($BY746&lt;=CH$615,MATCH($BY746,CG$617:CG$863,0))</f>
        <v>0</v>
      </c>
    </row>
    <row r="747" s="32" customFormat="true" ht="12.75" hidden="false" customHeight="false" outlineLevel="0" collapsed="false">
      <c r="AQ747" s="343"/>
      <c r="AR747" s="327" t="str">
        <f aca="false">T151&amp;IF(Z151&lt;&gt;"","("&amp;Z151&amp;")","")</f>
        <v/>
      </c>
      <c r="AS747" s="112" t="n">
        <f aca="false">X151</f>
        <v>0</v>
      </c>
      <c r="AT747" s="112" t="n">
        <f aca="true">OFFSET(CostSkill,AS747,0)-OFFSET(CostSkill,W151,0)</f>
        <v>0</v>
      </c>
      <c r="AU747" s="112" t="n">
        <f aca="false">Y151</f>
        <v>0</v>
      </c>
      <c r="AV747" s="112" t="n">
        <f aca="false">AV746+IF(AND(AR747&lt;&gt;" ",AS747&gt;0),1,0)</f>
        <v>19</v>
      </c>
      <c r="AW747" s="324"/>
      <c r="BY747" s="333" t="n">
        <f aca="false">BY746+1</f>
        <v>131</v>
      </c>
      <c r="BZ747" s="329" t="str">
        <f aca="false">J255</f>
        <v>Bottle of Wine</v>
      </c>
      <c r="CA747" s="112" t="n">
        <f aca="false">N255</f>
        <v>0</v>
      </c>
      <c r="CB747" s="112" t="n">
        <f aca="false">O255</f>
        <v>0.5</v>
      </c>
      <c r="CC747" s="112" t="n">
        <f aca="false">P255</f>
        <v>1</v>
      </c>
      <c r="CD747" s="329" t="e">
        <f aca="false">FIND(",",BZ747)</f>
        <v>#VALUE!</v>
      </c>
      <c r="CE747" s="329" t="str">
        <f aca="false">IF(ISERROR(CD747),BZ747,MID(BZ747,CD747+2,20)&amp;" "&amp;LEFT(BZ747,CD747-1))&amp;IF(ISERROR(VALUE(CA747)),"",IF(CA747&gt;1," ("&amp;CA747&amp;")",""))</f>
        <v>Bottle of Wine</v>
      </c>
      <c r="CF747" s="329" t="n">
        <f aca="false">IF(CC747=" "," ",IF(ISERROR(VALUE(CA747)),CC747,CA747*CC747))</f>
        <v>0</v>
      </c>
      <c r="CG747" s="112" t="n">
        <f aca="false">CG746+IF(AND(BZ747&lt;&gt;0,CA747&lt;&gt;0),1,0)</f>
        <v>21</v>
      </c>
      <c r="CH747" s="112" t="n">
        <f aca="false">IF($BY747&lt;=CH$615,MATCH($BY747,CG$617:CG$863,0))</f>
        <v>0</v>
      </c>
    </row>
    <row r="748" s="32" customFormat="true" ht="12.75" hidden="false" customHeight="false" outlineLevel="0" collapsed="false">
      <c r="AQ748" s="343"/>
      <c r="AR748" s="327" t="str">
        <f aca="false">T152&amp;IF(Z152&lt;&gt;"","("&amp;Z152&amp;")","")</f>
        <v/>
      </c>
      <c r="AS748" s="112" t="n">
        <f aca="false">X152</f>
        <v>0</v>
      </c>
      <c r="AT748" s="112" t="n">
        <f aca="true">OFFSET(CostSkill,AS748,0)-OFFSET(CostSkill,W152,0)</f>
        <v>0</v>
      </c>
      <c r="AU748" s="112" t="n">
        <f aca="false">Y152</f>
        <v>0</v>
      </c>
      <c r="AV748" s="112" t="n">
        <f aca="false">AV747+IF(AND(AR748&lt;&gt;" ",AS748&gt;0),1,0)</f>
        <v>19</v>
      </c>
      <c r="AW748" s="324"/>
      <c r="BY748" s="333" t="n">
        <f aca="false">BY747+1</f>
        <v>132</v>
      </c>
      <c r="BZ748" s="329" t="str">
        <f aca="false">J256</f>
        <v>Bottle of Fine Wine</v>
      </c>
      <c r="CA748" s="112" t="n">
        <f aca="false">N256</f>
        <v>0</v>
      </c>
      <c r="CB748" s="112" t="n">
        <f aca="false">O256</f>
        <v>5</v>
      </c>
      <c r="CC748" s="112" t="n">
        <f aca="false">P256</f>
        <v>1</v>
      </c>
      <c r="CD748" s="329" t="e">
        <f aca="false">FIND(",",BZ748)</f>
        <v>#VALUE!</v>
      </c>
      <c r="CE748" s="329" t="str">
        <f aca="false">IF(ISERROR(CD748),BZ748,MID(BZ748,CD748+2,20)&amp;" "&amp;LEFT(BZ748,CD748-1))&amp;IF(ISERROR(VALUE(CA748)),"",IF(CA748&gt;1," ("&amp;CA748&amp;")",""))</f>
        <v>Bottle of Fine Wine</v>
      </c>
      <c r="CF748" s="329" t="n">
        <f aca="false">IF(CC748=" "," ",IF(ISERROR(VALUE(CA748)),CC748,CA748*CC748))</f>
        <v>0</v>
      </c>
      <c r="CG748" s="112" t="n">
        <f aca="false">CG747+IF(AND(BZ748&lt;&gt;0,CA748&lt;&gt;0),1,0)</f>
        <v>21</v>
      </c>
      <c r="CH748" s="112" t="n">
        <f aca="false">IF($BY748&lt;=CH$615,MATCH($BY748,CG$617:CG$863,0))</f>
        <v>0</v>
      </c>
    </row>
    <row r="749" s="32" customFormat="true" ht="12.75" hidden="false" customHeight="false" outlineLevel="0" collapsed="false">
      <c r="AQ749" s="343"/>
      <c r="AR749" s="327" t="str">
        <f aca="false">T153&amp;IF(Z153&lt;&gt;"","("&amp;Z153&amp;")","")</f>
        <v/>
      </c>
      <c r="AS749" s="112" t="n">
        <f aca="false">X153</f>
        <v>0</v>
      </c>
      <c r="AT749" s="112" t="n">
        <f aca="true">OFFSET(CostSkill,AS749,0)-OFFSET(CostSkill,W153,0)</f>
        <v>0</v>
      </c>
      <c r="AU749" s="112" t="n">
        <f aca="false">Y153</f>
        <v>0</v>
      </c>
      <c r="AV749" s="112" t="n">
        <f aca="false">AV748+IF(AND(AR749&lt;&gt;" ",AS749&gt;0),1,0)</f>
        <v>19</v>
      </c>
      <c r="AW749" s="324"/>
      <c r="BY749" s="333" t="n">
        <f aca="false">BY748+1</f>
        <v>133</v>
      </c>
      <c r="BZ749" s="329" t="str">
        <f aca="false">J257</f>
        <v>Waterskin</v>
      </c>
      <c r="CA749" s="112" t="n">
        <f aca="false">N257</f>
        <v>0</v>
      </c>
      <c r="CB749" s="112" t="n">
        <f aca="false">O257</f>
        <v>2</v>
      </c>
      <c r="CC749" s="112" t="n">
        <f aca="false">P257</f>
        <v>4</v>
      </c>
      <c r="CD749" s="329" t="e">
        <f aca="false">FIND(",",BZ749)</f>
        <v>#VALUE!</v>
      </c>
      <c r="CE749" s="329" t="str">
        <f aca="false">IF(ISERROR(CD749),BZ749,MID(BZ749,CD749+2,20)&amp;" "&amp;LEFT(BZ749,CD749-1))&amp;IF(ISERROR(VALUE(CA749)),"",IF(CA749&gt;1," ("&amp;CA749&amp;")",""))</f>
        <v>Waterskin</v>
      </c>
      <c r="CF749" s="329" t="n">
        <f aca="false">IF(CC749=" "," ",IF(ISERROR(VALUE(CA749)),CC749,CA749*CC749))</f>
        <v>0</v>
      </c>
      <c r="CG749" s="112" t="n">
        <f aca="false">CG748+IF(AND(BZ749&lt;&gt;0,CA749&lt;&gt;0),1,0)</f>
        <v>21</v>
      </c>
      <c r="CH749" s="112" t="n">
        <f aca="false">IF($BY749&lt;=CH$615,MATCH($BY749,CG$617:CG$863,0))</f>
        <v>0</v>
      </c>
    </row>
    <row r="750" s="32" customFormat="true" ht="12.75" hidden="false" customHeight="false" outlineLevel="0" collapsed="false">
      <c r="AQ750" s="343"/>
      <c r="AR750" s="327" t="str">
        <f aca="false">T154&amp;IF(Z154&lt;&gt;"","("&amp;Z154&amp;")","")</f>
        <v/>
      </c>
      <c r="AS750" s="112" t="n">
        <f aca="false">X154</f>
        <v>0</v>
      </c>
      <c r="AT750" s="112" t="n">
        <f aca="true">OFFSET(CostSkill,AS750,0)-OFFSET(CostSkill,W154,0)</f>
        <v>0</v>
      </c>
      <c r="AU750" s="112" t="n">
        <f aca="false">Y154</f>
        <v>0</v>
      </c>
      <c r="AV750" s="112" t="n">
        <f aca="false">AV749+IF(AND(AR750&lt;&gt;" ",AS750&gt;0),1,0)</f>
        <v>19</v>
      </c>
      <c r="AW750" s="324"/>
      <c r="BY750" s="333" t="n">
        <f aca="false">BY749+1</f>
        <v>134</v>
      </c>
      <c r="BZ750" s="329" t="str">
        <f aca="false">J258</f>
        <v>Wineskin</v>
      </c>
      <c r="CA750" s="112" t="n">
        <f aca="false">N258</f>
        <v>0</v>
      </c>
      <c r="CB750" s="112" t="n">
        <f aca="false">O258</f>
        <v>2</v>
      </c>
      <c r="CC750" s="112" t="n">
        <f aca="false">P258</f>
        <v>4</v>
      </c>
      <c r="CD750" s="329" t="e">
        <f aca="false">FIND(",",BZ750)</f>
        <v>#VALUE!</v>
      </c>
      <c r="CE750" s="329" t="str">
        <f aca="false">IF(ISERROR(CD750),BZ750,MID(BZ750,CD750+2,20)&amp;" "&amp;LEFT(BZ750,CD750-1))&amp;IF(ISERROR(VALUE(CA750)),"",IF(CA750&gt;1," ("&amp;CA750&amp;")",""))</f>
        <v>Wineskin</v>
      </c>
      <c r="CF750" s="329" t="n">
        <f aca="false">IF(CC750=" "," ",IF(ISERROR(VALUE(CA750)),CC750,CA750*CC750))</f>
        <v>0</v>
      </c>
      <c r="CG750" s="112" t="n">
        <f aca="false">CG749+IF(AND(BZ750&lt;&gt;0,CA750&lt;&gt;0),1,0)</f>
        <v>21</v>
      </c>
      <c r="CH750" s="112" t="n">
        <f aca="false">IF($BY750&lt;=CH$615,MATCH($BY750,CG$617:CG$863,0))</f>
        <v>0</v>
      </c>
    </row>
    <row r="751" s="32" customFormat="true" ht="12.75" hidden="false" customHeight="false" outlineLevel="0" collapsed="false">
      <c r="AQ751" s="343"/>
      <c r="AR751" s="327" t="str">
        <f aca="false">T155&amp;IF(Z155&lt;&gt;"","("&amp;Z155&amp;")","")</f>
        <v/>
      </c>
      <c r="AS751" s="112" t="n">
        <f aca="false">X155</f>
        <v>0</v>
      </c>
      <c r="AT751" s="112" t="n">
        <f aca="true">OFFSET(CostSkill,AS751,0)-OFFSET(CostSkill,W155,0)</f>
        <v>0</v>
      </c>
      <c r="AU751" s="112" t="n">
        <f aca="false">Y155</f>
        <v>0</v>
      </c>
      <c r="AV751" s="112" t="n">
        <f aca="false">AV750+IF(AND(AR751&lt;&gt;" ",AS751&gt;0),1,0)</f>
        <v>19</v>
      </c>
      <c r="AW751" s="324"/>
      <c r="BY751" s="333" t="n">
        <f aca="false">BY750+1</f>
        <v>135</v>
      </c>
      <c r="BZ751" s="329" t="n">
        <f aca="false">J259</f>
        <v>0</v>
      </c>
      <c r="CA751" s="112" t="n">
        <f aca="false">N259</f>
        <v>0</v>
      </c>
      <c r="CB751" s="112" t="n">
        <f aca="false">O259</f>
        <v>0</v>
      </c>
      <c r="CC751" s="112" t="n">
        <f aca="false">P259</f>
        <v>0</v>
      </c>
      <c r="CD751" s="329" t="e">
        <f aca="false">FIND(",",BZ751)</f>
        <v>#VALUE!</v>
      </c>
      <c r="CE751" s="329" t="str">
        <f aca="false">IF(ISERROR(CD751),BZ751,MID(BZ751,CD751+2,20)&amp;" "&amp;LEFT(BZ751,CD751-1))&amp;IF(ISERROR(VALUE(CA751)),"",IF(CA751&gt;1," ("&amp;CA751&amp;")",""))</f>
        <v>0</v>
      </c>
      <c r="CF751" s="329" t="n">
        <f aca="false">IF(CC751=" "," ",IF(ISERROR(VALUE(CA751)),CC751,CA751*CC751))</f>
        <v>0</v>
      </c>
      <c r="CG751" s="112" t="n">
        <f aca="false">CG750+IF(AND(BZ751&lt;&gt;0,CA751&lt;&gt;0),1,0)</f>
        <v>21</v>
      </c>
      <c r="CH751" s="112" t="n">
        <f aca="false">IF($BY751&lt;=CH$615,MATCH($BY751,CG$617:CG$863,0))</f>
        <v>0</v>
      </c>
    </row>
    <row r="752" s="32" customFormat="true" ht="12.75" hidden="false" customHeight="false" outlineLevel="0" collapsed="false">
      <c r="AQ752" s="343"/>
      <c r="AR752" s="327" t="str">
        <f aca="false">T156&amp;IF(Z156&lt;&gt;"","("&amp;Z156&amp;")","")</f>
        <v/>
      </c>
      <c r="AS752" s="112" t="n">
        <f aca="false">X156</f>
        <v>0</v>
      </c>
      <c r="AT752" s="112" t="n">
        <f aca="true">OFFSET(CostSkill,AS752,0)-OFFSET(CostSkill,W156,0)</f>
        <v>0</v>
      </c>
      <c r="AU752" s="112" t="n">
        <f aca="false">Y156</f>
        <v>0</v>
      </c>
      <c r="AV752" s="112" t="n">
        <f aca="false">AV751+IF(AND(AR752&lt;&gt;" ",AS752&gt;0),1,0)</f>
        <v>19</v>
      </c>
      <c r="AW752" s="324"/>
      <c r="BY752" s="333" t="n">
        <f aca="false">BY751+1</f>
        <v>136</v>
      </c>
      <c r="BZ752" s="329" t="n">
        <f aca="false">J260</f>
        <v>0</v>
      </c>
      <c r="CA752" s="112" t="n">
        <f aca="false">N260</f>
        <v>0</v>
      </c>
      <c r="CB752" s="112" t="n">
        <f aca="false">O260</f>
        <v>0</v>
      </c>
      <c r="CC752" s="112" t="n">
        <f aca="false">P260</f>
        <v>0</v>
      </c>
      <c r="CD752" s="329" t="e">
        <f aca="false">FIND(",",BZ752)</f>
        <v>#VALUE!</v>
      </c>
      <c r="CE752" s="329" t="str">
        <f aca="false">IF(ISERROR(CD752),BZ752,MID(BZ752,CD752+2,20)&amp;" "&amp;LEFT(BZ752,CD752-1))&amp;IF(ISERROR(VALUE(CA752)),"",IF(CA752&gt;1," ("&amp;CA752&amp;")",""))</f>
        <v>0</v>
      </c>
      <c r="CF752" s="329" t="n">
        <f aca="false">IF(CC752=" "," ",IF(ISERROR(VALUE(CA752)),CC752,CA752*CC752))</f>
        <v>0</v>
      </c>
      <c r="CG752" s="112" t="n">
        <f aca="false">CG751+IF(AND(BZ752&lt;&gt;0,CA752&lt;&gt;0),1,0)</f>
        <v>21</v>
      </c>
      <c r="CH752" s="112" t="n">
        <f aca="false">IF($BY752&lt;=CH$615,MATCH($BY752,CG$617:CG$863,0))</f>
        <v>0</v>
      </c>
    </row>
    <row r="753" s="32" customFormat="true" ht="12.75" hidden="false" customHeight="false" outlineLevel="0" collapsed="false">
      <c r="AQ753" s="343"/>
      <c r="AR753" s="327" t="str">
        <f aca="false">T157&amp;IF(Z157&lt;&gt;"","("&amp;Z157&amp;")","")</f>
        <v/>
      </c>
      <c r="AS753" s="112" t="n">
        <f aca="false">X157</f>
        <v>0</v>
      </c>
      <c r="AT753" s="112" t="n">
        <f aca="true">OFFSET(CostSkill,AS753,0)-OFFSET(CostSkill,W157,0)</f>
        <v>0</v>
      </c>
      <c r="AU753" s="112" t="n">
        <f aca="false">Y157</f>
        <v>0</v>
      </c>
      <c r="AV753" s="112" t="n">
        <f aca="false">AV752+IF(AND(AR753&lt;&gt;" ",AS753&gt;0),1,0)</f>
        <v>19</v>
      </c>
      <c r="AW753" s="324"/>
      <c r="BY753" s="333" t="n">
        <f aca="false">BY752+1</f>
        <v>137</v>
      </c>
      <c r="BZ753" s="329" t="n">
        <f aca="false">J261</f>
        <v>0</v>
      </c>
      <c r="CA753" s="112" t="n">
        <f aca="false">N261</f>
        <v>0</v>
      </c>
      <c r="CB753" s="112" t="n">
        <f aca="false">O261</f>
        <v>0</v>
      </c>
      <c r="CC753" s="112" t="n">
        <f aca="false">P261</f>
        <v>0</v>
      </c>
      <c r="CD753" s="329" t="e">
        <f aca="false">FIND(",",BZ753)</f>
        <v>#VALUE!</v>
      </c>
      <c r="CE753" s="329" t="str">
        <f aca="false">IF(ISERROR(CD753),BZ753,MID(BZ753,CD753+2,20)&amp;" "&amp;LEFT(BZ753,CD753-1))&amp;IF(ISERROR(VALUE(CA753)),"",IF(CA753&gt;1," ("&amp;CA753&amp;")",""))</f>
        <v>0</v>
      </c>
      <c r="CF753" s="329" t="n">
        <f aca="false">IF(CC753=" "," ",IF(ISERROR(VALUE(CA753)),CC753,CA753*CC753))</f>
        <v>0</v>
      </c>
      <c r="CG753" s="112" t="n">
        <f aca="false">CG752+IF(AND(BZ753&lt;&gt;0,CA753&lt;&gt;0),1,0)</f>
        <v>21</v>
      </c>
      <c r="CH753" s="112" t="n">
        <f aca="false">IF($BY753&lt;=CH$615,MATCH($BY753,CG$617:CG$863,0))</f>
        <v>0</v>
      </c>
    </row>
    <row r="754" s="32" customFormat="true" ht="12.75" hidden="false" customHeight="false" outlineLevel="0" collapsed="false">
      <c r="AQ754" s="343"/>
      <c r="AR754" s="327" t="str">
        <f aca="false">T158&amp;IF(Z158&lt;&gt;"","("&amp;Z158&amp;")","")</f>
        <v/>
      </c>
      <c r="AS754" s="112" t="n">
        <f aca="false">X158</f>
        <v>0</v>
      </c>
      <c r="AT754" s="112" t="n">
        <f aca="true">OFFSET(CostSkill,AS754,0)-OFFSET(CostSkill,W158,0)</f>
        <v>0</v>
      </c>
      <c r="AU754" s="112" t="n">
        <f aca="false">Y158</f>
        <v>0</v>
      </c>
      <c r="AV754" s="112" t="n">
        <f aca="false">AV753+IF(AND(AR754&lt;&gt;" ",AS754&gt;0),1,0)</f>
        <v>19</v>
      </c>
      <c r="AW754" s="324"/>
      <c r="BY754" s="333" t="n">
        <f aca="false">BY753+1</f>
        <v>138</v>
      </c>
      <c r="BZ754" s="329" t="n">
        <f aca="false">J262</f>
        <v>0</v>
      </c>
      <c r="CA754" s="112" t="n">
        <f aca="false">N262</f>
        <v>0</v>
      </c>
      <c r="CB754" s="112" t="n">
        <f aca="false">O262</f>
        <v>0</v>
      </c>
      <c r="CC754" s="112" t="n">
        <f aca="false">P262</f>
        <v>0</v>
      </c>
      <c r="CD754" s="329" t="e">
        <f aca="false">FIND(",",BZ754)</f>
        <v>#VALUE!</v>
      </c>
      <c r="CE754" s="329" t="str">
        <f aca="false">IF(ISERROR(CD754),BZ754,MID(BZ754,CD754+2,20)&amp;" "&amp;LEFT(BZ754,CD754-1))&amp;IF(ISERROR(VALUE(CA754)),"",IF(CA754&gt;1," ("&amp;CA754&amp;")",""))</f>
        <v>0</v>
      </c>
      <c r="CF754" s="329" t="n">
        <f aca="false">IF(CC754=" "," ",IF(ISERROR(VALUE(CA754)),CC754,CA754*CC754))</f>
        <v>0</v>
      </c>
      <c r="CG754" s="112" t="n">
        <f aca="false">CG753+IF(AND(BZ754&lt;&gt;0,CA754&lt;&gt;0),1,0)</f>
        <v>21</v>
      </c>
      <c r="CH754" s="112" t="n">
        <f aca="false">IF($BY754&lt;=CH$615,MATCH($BY754,CG$617:CG$863,0))</f>
        <v>0</v>
      </c>
    </row>
    <row r="755" s="32" customFormat="true" ht="12.75" hidden="false" customHeight="false" outlineLevel="0" collapsed="false">
      <c r="AQ755" s="343"/>
      <c r="AR755" s="335" t="str">
        <f aca="false">T159&amp;IF(Z159&lt;&gt;"","("&amp;Z159&amp;")","")</f>
        <v/>
      </c>
      <c r="AS755" s="175" t="n">
        <f aca="false">X159</f>
        <v>0</v>
      </c>
      <c r="AT755" s="175" t="n">
        <f aca="true">OFFSET(CostSkill,AS755,0)-OFFSET(CostSkill,W159,0)</f>
        <v>0</v>
      </c>
      <c r="AU755" s="175" t="n">
        <f aca="false">Y159</f>
        <v>0</v>
      </c>
      <c r="AV755" s="175" t="n">
        <f aca="false">AV754+IF(AND(AR755&lt;&gt;" ",AS755&gt;0),1,0)</f>
        <v>19</v>
      </c>
      <c r="AW755" s="289"/>
      <c r="BY755" s="333" t="n">
        <f aca="false">BY754+1</f>
        <v>139</v>
      </c>
      <c r="BZ755" s="328" t="str">
        <f aca="false">J266</f>
        <v>Anti-Sporific</v>
      </c>
      <c r="CA755" s="182" t="n">
        <f aca="false">N266</f>
        <v>0</v>
      </c>
      <c r="CB755" s="182" t="n">
        <f aca="false">O266</f>
        <v>250</v>
      </c>
      <c r="CC755" s="182" t="n">
        <f aca="false">P266</f>
        <v>1</v>
      </c>
      <c r="CD755" s="184" t="e">
        <f aca="false">FIND(",",BZ755)</f>
        <v>#VALUE!</v>
      </c>
      <c r="CE755" s="184" t="str">
        <f aca="false">IF(ISERROR(CD755),BZ755,MID(BZ755,CD755+2,20)&amp;" "&amp;LEFT(BZ755,CD755-1))&amp;IF(ISERROR(VALUE(CA755)),"",IF(CA755&gt;1," ("&amp;CA755&amp;")",""))</f>
        <v>Anti-Sporific</v>
      </c>
      <c r="CF755" s="184" t="n">
        <f aca="false">IF(CC755=" "," ",IF(ISERROR(VALUE(CA755)),CC755,CA755*CC755))</f>
        <v>0</v>
      </c>
      <c r="CG755" s="182" t="n">
        <f aca="false">CG754+IF(AND(BZ755&lt;&gt;0,CA755&lt;&gt;0),1,0)</f>
        <v>21</v>
      </c>
      <c r="CH755" s="182" t="n">
        <f aca="false">IF($BY755&lt;=CH$615,MATCH($BY755,CG$617:CG$863,0))</f>
        <v>0</v>
      </c>
    </row>
    <row r="756" s="32" customFormat="true" ht="12.75" hidden="false" customHeight="false" outlineLevel="0" collapsed="false">
      <c r="AO756" s="343"/>
      <c r="AT756" s="42"/>
      <c r="AU756" s="42"/>
      <c r="BY756" s="333" t="n">
        <f aca="false">BY755+1</f>
        <v>140</v>
      </c>
      <c r="BZ756" s="327" t="str">
        <f aca="false">J267</f>
        <v>Booster Potion</v>
      </c>
      <c r="CA756" s="112" t="n">
        <f aca="false">N267</f>
        <v>3</v>
      </c>
      <c r="CB756" s="112" t="n">
        <f aca="false">O267</f>
        <v>50</v>
      </c>
      <c r="CC756" s="112" t="n">
        <f aca="false">P267</f>
        <v>2</v>
      </c>
      <c r="CD756" s="329" t="e">
        <f aca="false">FIND(",",BZ756)</f>
        <v>#VALUE!</v>
      </c>
      <c r="CE756" s="329" t="str">
        <f aca="false">IF(ISERROR(CD756),BZ756,MID(BZ756,CD756+2,20)&amp;" "&amp;LEFT(BZ756,CD756-1))&amp;IF(ISERROR(VALUE(CA756)),"",IF(CA756&gt;1," ("&amp;CA756&amp;")",""))</f>
        <v>Booster Potion (3)</v>
      </c>
      <c r="CF756" s="329" t="n">
        <f aca="false">IF(CC756=" "," ",IF(ISERROR(VALUE(CA756)),CC756,CA756*CC756))</f>
        <v>6</v>
      </c>
      <c r="CG756" s="112" t="n">
        <f aca="false">CG755+IF(AND(BZ756&lt;&gt;0,CA756&lt;&gt;0),1,0)</f>
        <v>22</v>
      </c>
      <c r="CH756" s="112" t="n">
        <f aca="false">IF($BY756&lt;=CH$615,MATCH($BY756,CG$617:CG$863,0))</f>
        <v>0</v>
      </c>
    </row>
    <row r="757" s="32" customFormat="true" ht="12.75" hidden="false" customHeight="false" outlineLevel="0" collapsed="false">
      <c r="AO757" s="343"/>
      <c r="AT757" s="42"/>
      <c r="AU757" s="42"/>
      <c r="BY757" s="333" t="n">
        <f aca="false">BY756+1</f>
        <v>141</v>
      </c>
      <c r="BZ757" s="327" t="str">
        <f aca="false">J268</f>
        <v>Brew of the Berserkers</v>
      </c>
      <c r="CA757" s="112" t="n">
        <f aca="false">N268</f>
        <v>0</v>
      </c>
      <c r="CB757" s="112" t="n">
        <f aca="false">O268</f>
        <v>250</v>
      </c>
      <c r="CC757" s="112" t="n">
        <f aca="false">P268</f>
        <v>1</v>
      </c>
      <c r="CD757" s="329" t="e">
        <f aca="false">FIND(",",BZ757)</f>
        <v>#VALUE!</v>
      </c>
      <c r="CE757" s="329" t="str">
        <f aca="false">IF(ISERROR(CD757),BZ757,MID(BZ757,CD757+2,20)&amp;" "&amp;LEFT(BZ757,CD757-1))&amp;IF(ISERROR(VALUE(CA757)),"",IF(CA757&gt;1," ("&amp;CA757&amp;")",""))</f>
        <v>Brew of the Berserkers</v>
      </c>
      <c r="CF757" s="329" t="n">
        <f aca="false">IF(CC757=" "," ",IF(ISERROR(VALUE(CA757)),CC757,CA757*CC757))</f>
        <v>0</v>
      </c>
      <c r="CG757" s="112" t="n">
        <f aca="false">CG756+IF(AND(BZ757&lt;&gt;0,CA757&lt;&gt;0),1,0)</f>
        <v>22</v>
      </c>
      <c r="CH757" s="112" t="n">
        <f aca="false">IF($BY757&lt;=CH$615,MATCH($BY757,CG$617:CG$863,0))</f>
        <v>0</v>
      </c>
    </row>
    <row r="758" s="32" customFormat="true" ht="12.75" hidden="false" customHeight="false" outlineLevel="0" collapsed="false">
      <c r="AO758" s="343"/>
      <c r="AT758" s="42"/>
      <c r="AU758" s="42"/>
      <c r="BY758" s="333" t="n">
        <f aca="false">BY757+1</f>
        <v>142</v>
      </c>
      <c r="BZ758" s="327" t="str">
        <f aca="false">J269</f>
        <v>Bug Repellent</v>
      </c>
      <c r="CA758" s="112" t="n">
        <f aca="false">N269</f>
        <v>0</v>
      </c>
      <c r="CB758" s="112" t="n">
        <f aca="false">O269</f>
        <v>150</v>
      </c>
      <c r="CC758" s="112" t="n">
        <f aca="false">P269</f>
        <v>3</v>
      </c>
      <c r="CD758" s="329" t="e">
        <f aca="false">FIND(",",BZ758)</f>
        <v>#VALUE!</v>
      </c>
      <c r="CE758" s="329" t="str">
        <f aca="false">IF(ISERROR(CD758),BZ758,MID(BZ758,CD758+2,20)&amp;" "&amp;LEFT(BZ758,CD758-1))&amp;IF(ISERROR(VALUE(CA758)),"",IF(CA758&gt;1," ("&amp;CA758&amp;")",""))</f>
        <v>Bug Repellent</v>
      </c>
      <c r="CF758" s="329" t="n">
        <f aca="false">IF(CC758=" "," ",IF(ISERROR(VALUE(CA758)),CC758,CA758*CC758))</f>
        <v>0</v>
      </c>
      <c r="CG758" s="112" t="n">
        <f aca="false">CG757+IF(AND(BZ758&lt;&gt;0,CA758&lt;&gt;0),1,0)</f>
        <v>22</v>
      </c>
      <c r="CH758" s="112" t="n">
        <f aca="false">IF($BY758&lt;=CH$615,MATCH($BY758,CG$617:CG$863,0))</f>
        <v>0</v>
      </c>
    </row>
    <row r="759" s="32" customFormat="true" ht="12.75" hidden="false" customHeight="false" outlineLevel="0" collapsed="false">
      <c r="AO759" s="343"/>
      <c r="AT759" s="42"/>
      <c r="AU759" s="42"/>
      <c r="BY759" s="333" t="n">
        <f aca="false">BY758+1</f>
        <v>143</v>
      </c>
      <c r="BZ759" s="327" t="str">
        <f aca="false">J270</f>
        <v>Cleanse Poison Potion</v>
      </c>
      <c r="CA759" s="112" t="n">
        <f aca="false">N270</f>
        <v>0</v>
      </c>
      <c r="CB759" s="112" t="n">
        <f aca="false">O270</f>
        <v>150</v>
      </c>
      <c r="CC759" s="112" t="n">
        <f aca="false">P270</f>
        <v>1</v>
      </c>
      <c r="CD759" s="329" t="e">
        <f aca="false">FIND(",",BZ759)</f>
        <v>#VALUE!</v>
      </c>
      <c r="CE759" s="329" t="str">
        <f aca="false">IF(ISERROR(CD759),BZ759,MID(BZ759,CD759+2,20)&amp;" "&amp;LEFT(BZ759,CD759-1))&amp;IF(ISERROR(VALUE(CA759)),"",IF(CA759&gt;1," ("&amp;CA759&amp;")",""))</f>
        <v>Cleanse Poison Potion</v>
      </c>
      <c r="CF759" s="329" t="n">
        <f aca="false">IF(CC759=" "," ",IF(ISERROR(VALUE(CA759)),CC759,CA759*CC759))</f>
        <v>0</v>
      </c>
      <c r="CG759" s="112" t="n">
        <f aca="false">CG758+IF(AND(BZ759&lt;&gt;0,CA759&lt;&gt;0),1,0)</f>
        <v>22</v>
      </c>
      <c r="CH759" s="112" t="n">
        <f aca="false">IF($BY759&lt;=CH$615,MATCH($BY759,CG$617:CG$863,0))</f>
        <v>0</v>
      </c>
    </row>
    <row r="760" s="32" customFormat="true" ht="12.75" hidden="false" customHeight="false" outlineLevel="0" collapsed="false">
      <c r="AO760" s="343"/>
      <c r="AT760" s="42"/>
      <c r="AU760" s="42"/>
      <c r="BY760" s="333" t="n">
        <f aca="false">BY759+1</f>
        <v>144</v>
      </c>
      <c r="BZ760" s="327" t="str">
        <f aca="false">J271</f>
        <v>Confidense Booster</v>
      </c>
      <c r="CA760" s="112" t="n">
        <f aca="false">N271</f>
        <v>0</v>
      </c>
      <c r="CB760" s="112" t="n">
        <f aca="false">O271</f>
        <v>150</v>
      </c>
      <c r="CC760" s="112" t="n">
        <f aca="false">P271</f>
        <v>2</v>
      </c>
      <c r="CD760" s="329" t="e">
        <f aca="false">FIND(",",BZ760)</f>
        <v>#VALUE!</v>
      </c>
      <c r="CE760" s="329" t="str">
        <f aca="false">IF(ISERROR(CD760),BZ760,MID(BZ760,CD760+2,20)&amp;" "&amp;LEFT(BZ760,CD760-1))&amp;IF(ISERROR(VALUE(CA760)),"",IF(CA760&gt;1," ("&amp;CA760&amp;")",""))</f>
        <v>Confidense Booster</v>
      </c>
      <c r="CF760" s="329" t="n">
        <f aca="false">IF(CC760=" "," ",IF(ISERROR(VALUE(CA760)),CC760,CA760*CC760))</f>
        <v>0</v>
      </c>
      <c r="CG760" s="112" t="n">
        <f aca="false">CG759+IF(AND(BZ760&lt;&gt;0,CA760&lt;&gt;0),1,0)</f>
        <v>22</v>
      </c>
      <c r="CH760" s="112" t="n">
        <f aca="false">IF($BY760&lt;=CH$615,MATCH($BY760,CG$617:CG$863,0))</f>
        <v>0</v>
      </c>
    </row>
    <row r="761" s="32" customFormat="true" ht="12.75" hidden="false" customHeight="false" outlineLevel="0" collapsed="false">
      <c r="AO761" s="343"/>
      <c r="AT761" s="42"/>
      <c r="AU761" s="42"/>
      <c r="BY761" s="333" t="n">
        <f aca="false">BY760+1</f>
        <v>145</v>
      </c>
      <c r="BZ761" s="327" t="str">
        <f aca="false">J272</f>
        <v>Cure Disease Potion</v>
      </c>
      <c r="CA761" s="112" t="n">
        <f aca="false">N272</f>
        <v>0</v>
      </c>
      <c r="CB761" s="112" t="n">
        <f aca="false">O272</f>
        <v>500</v>
      </c>
      <c r="CC761" s="112" t="n">
        <f aca="false">P272</f>
        <v>2</v>
      </c>
      <c r="CD761" s="329" t="e">
        <f aca="false">FIND(",",BZ761)</f>
        <v>#VALUE!</v>
      </c>
      <c r="CE761" s="329" t="str">
        <f aca="false">IF(ISERROR(CD761),BZ761,MID(BZ761,CD761+2,20)&amp;" "&amp;LEFT(BZ761,CD761-1))&amp;IF(ISERROR(VALUE(CA761)),"",IF(CA761&gt;1," ("&amp;CA761&amp;")",""))</f>
        <v>Cure Disease Potion</v>
      </c>
      <c r="CF761" s="329" t="n">
        <f aca="false">IF(CC761=" "," ",IF(ISERROR(VALUE(CA761)),CC761,CA761*CC761))</f>
        <v>0</v>
      </c>
      <c r="CG761" s="112" t="n">
        <f aca="false">CG760+IF(AND(BZ761&lt;&gt;0,CA761&lt;&gt;0),1,0)</f>
        <v>22</v>
      </c>
      <c r="CH761" s="112" t="n">
        <f aca="false">IF($BY761&lt;=CH$615,MATCH($BY761,CG$617:CG$863,0))</f>
        <v>0</v>
      </c>
    </row>
    <row r="762" s="32" customFormat="true" ht="12.75" hidden="false" customHeight="false" outlineLevel="0" collapsed="false">
      <c r="AO762" s="343"/>
      <c r="AT762" s="42"/>
      <c r="AU762" s="42"/>
      <c r="BY762" s="333" t="n">
        <f aca="false">BY761+1</f>
        <v>146</v>
      </c>
      <c r="BZ762" s="327" t="str">
        <f aca="false">J273</f>
        <v>Equilibria</v>
      </c>
      <c r="CA762" s="112" t="n">
        <f aca="false">N273</f>
        <v>0</v>
      </c>
      <c r="CB762" s="112" t="n">
        <f aca="false">O273</f>
        <v>150</v>
      </c>
      <c r="CC762" s="112" t="n">
        <f aca="false">P273</f>
        <v>1</v>
      </c>
      <c r="CD762" s="329" t="e">
        <f aca="false">FIND(",",BZ762)</f>
        <v>#VALUE!</v>
      </c>
      <c r="CE762" s="329" t="str">
        <f aca="false">IF(ISERROR(CD762),BZ762,MID(BZ762,CD762+2,20)&amp;" "&amp;LEFT(BZ762,CD762-1))&amp;IF(ISERROR(VALUE(CA762)),"",IF(CA762&gt;1," ("&amp;CA762&amp;")",""))</f>
        <v>Equilibria</v>
      </c>
      <c r="CF762" s="329" t="n">
        <f aca="false">IF(CC762=" "," ",IF(ISERROR(VALUE(CA762)),CC762,CA762*CC762))</f>
        <v>0</v>
      </c>
      <c r="CG762" s="112" t="n">
        <f aca="false">CG761+IF(AND(BZ762&lt;&gt;0,CA762&lt;&gt;0),1,0)</f>
        <v>22</v>
      </c>
      <c r="CH762" s="112" t="n">
        <f aca="false">IF($BY762&lt;=CH$615,MATCH($BY762,CG$617:CG$863,0))</f>
        <v>0</v>
      </c>
    </row>
    <row r="763" s="32" customFormat="true" ht="12.75" hidden="false" customHeight="false" outlineLevel="0" collapsed="false">
      <c r="AO763" s="343"/>
      <c r="AT763" s="42"/>
      <c r="AU763" s="42"/>
      <c r="BY763" s="333" t="n">
        <f aca="false">BY762+1</f>
        <v>147</v>
      </c>
      <c r="BZ763" s="327" t="str">
        <f aca="false">J274</f>
        <v>Fire Water</v>
      </c>
      <c r="CA763" s="112" t="n">
        <f aca="false">N274</f>
        <v>0</v>
      </c>
      <c r="CB763" s="112" t="n">
        <f aca="false">O274</f>
        <v>100</v>
      </c>
      <c r="CC763" s="112" t="n">
        <f aca="false">P274</f>
        <v>1</v>
      </c>
      <c r="CD763" s="329" t="e">
        <f aca="false">FIND(",",BZ763)</f>
        <v>#VALUE!</v>
      </c>
      <c r="CE763" s="329" t="str">
        <f aca="false">IF(ISERROR(CD763),BZ763,MID(BZ763,CD763+2,20)&amp;" "&amp;LEFT(BZ763,CD763-1))&amp;IF(ISERROR(VALUE(CA763)),"",IF(CA763&gt;1," ("&amp;CA763&amp;")",""))</f>
        <v>Fire Water</v>
      </c>
      <c r="CF763" s="329" t="n">
        <f aca="false">IF(CC763=" "," ",IF(ISERROR(VALUE(CA763)),CC763,CA763*CC763))</f>
        <v>0</v>
      </c>
      <c r="CG763" s="112" t="n">
        <f aca="false">CG762+IF(AND(BZ763&lt;&gt;0,CA763&lt;&gt;0),1,0)</f>
        <v>22</v>
      </c>
      <c r="CH763" s="112" t="n">
        <f aca="false">IF($BY763&lt;=CH$615,MATCH($BY763,CG$617:CG$863,0))</f>
        <v>0</v>
      </c>
    </row>
    <row r="764" s="32" customFormat="true" ht="12.75" hidden="false" customHeight="false" outlineLevel="0" collapsed="false">
      <c r="AO764" s="343"/>
      <c r="BY764" s="333" t="n">
        <f aca="false">BY763+1</f>
        <v>148</v>
      </c>
      <c r="BZ764" s="327" t="str">
        <f aca="false">J275</f>
        <v>Halt Illness Potion</v>
      </c>
      <c r="CA764" s="112" t="n">
        <f aca="false">N275</f>
        <v>0</v>
      </c>
      <c r="CB764" s="112" t="n">
        <f aca="false">O275</f>
        <v>100</v>
      </c>
      <c r="CC764" s="112" t="n">
        <f aca="false">P275</f>
        <v>1</v>
      </c>
      <c r="CD764" s="329" t="e">
        <f aca="false">FIND(",",BZ764)</f>
        <v>#VALUE!</v>
      </c>
      <c r="CE764" s="329" t="str">
        <f aca="false">IF(ISERROR(CD764),BZ764,MID(BZ764,CD764+2,20)&amp;" "&amp;LEFT(BZ764,CD764-1))&amp;IF(ISERROR(VALUE(CA764)),"",IF(CA764&gt;1," ("&amp;CA764&amp;")",""))</f>
        <v>Halt Illness Potion</v>
      </c>
      <c r="CF764" s="329" t="n">
        <f aca="false">IF(CC764=" "," ",IF(ISERROR(VALUE(CA764)),CC764,CA764*CC764))</f>
        <v>0</v>
      </c>
      <c r="CG764" s="112" t="n">
        <f aca="false">CG763+IF(AND(BZ764&lt;&gt;0,CA764&lt;&gt;0),1,0)</f>
        <v>22</v>
      </c>
      <c r="CH764" s="112" t="n">
        <f aca="false">IF($BY764&lt;=CH$615,MATCH($BY764,CG$617:CG$863,0))</f>
        <v>0</v>
      </c>
    </row>
    <row r="765" s="32" customFormat="true" ht="12.75" hidden="false" customHeight="false" outlineLevel="0" collapsed="false">
      <c r="AO765" s="343"/>
      <c r="BY765" s="333" t="n">
        <f aca="false">BY764+1</f>
        <v>149</v>
      </c>
      <c r="BZ765" s="327" t="str">
        <f aca="false">J276</f>
        <v>Healing Potion</v>
      </c>
      <c r="CA765" s="112" t="n">
        <f aca="false">N276</f>
        <v>0</v>
      </c>
      <c r="CB765" s="112" t="n">
        <f aca="false">O276</f>
        <v>300</v>
      </c>
      <c r="CC765" s="112" t="n">
        <f aca="false">P276</f>
        <v>2</v>
      </c>
      <c r="CD765" s="329" t="e">
        <f aca="false">FIND(",",BZ765)</f>
        <v>#VALUE!</v>
      </c>
      <c r="CE765" s="329" t="str">
        <f aca="false">IF(ISERROR(CD765),BZ765,MID(BZ765,CD765+2,20)&amp;" "&amp;LEFT(BZ765,CD765-1))&amp;IF(ISERROR(VALUE(CA765)),"",IF(CA765&gt;1," ("&amp;CA765&amp;")",""))</f>
        <v>Healing Potion</v>
      </c>
      <c r="CF765" s="329" t="n">
        <f aca="false">IF(CC765=" "," ",IF(ISERROR(VALUE(CA765)),CC765,CA765*CC765))</f>
        <v>0</v>
      </c>
      <c r="CG765" s="112" t="n">
        <f aca="false">CG764+IF(AND(BZ765&lt;&gt;0,CA765&lt;&gt;0),1,0)</f>
        <v>22</v>
      </c>
      <c r="CH765" s="112" t="n">
        <f aca="false">IF($BY765&lt;=CH$615,MATCH($BY765,CG$617:CG$863,0))</f>
        <v>0</v>
      </c>
    </row>
    <row r="766" s="32" customFormat="true" ht="12.75" hidden="false" customHeight="false" outlineLevel="0" collapsed="false">
      <c r="AO766" s="343"/>
      <c r="BY766" s="333" t="n">
        <f aca="false">BY765+1</f>
        <v>150</v>
      </c>
      <c r="BZ766" s="327" t="str">
        <f aca="false">J277</f>
        <v>Ice Water</v>
      </c>
      <c r="CA766" s="112" t="n">
        <f aca="false">N277</f>
        <v>0</v>
      </c>
      <c r="CB766" s="112" t="n">
        <f aca="false">O277</f>
        <v>125</v>
      </c>
      <c r="CC766" s="112" t="n">
        <f aca="false">P277</f>
        <v>2</v>
      </c>
      <c r="CD766" s="329" t="e">
        <f aca="false">FIND(",",BZ766)</f>
        <v>#VALUE!</v>
      </c>
      <c r="CE766" s="329" t="str">
        <f aca="false">IF(ISERROR(CD766),BZ766,MID(BZ766,CD766+2,20)&amp;" "&amp;LEFT(BZ766,CD766-1))&amp;IF(ISERROR(VALUE(CA766)),"",IF(CA766&gt;1," ("&amp;CA766&amp;")",""))</f>
        <v>Ice Water</v>
      </c>
      <c r="CF766" s="329" t="n">
        <f aca="false">IF(CC766=" "," ",IF(ISERROR(VALUE(CA766)),CC766,CA766*CC766))</f>
        <v>0</v>
      </c>
      <c r="CG766" s="112" t="n">
        <f aca="false">CG765+IF(AND(BZ766&lt;&gt;0,CA766&lt;&gt;0),1,0)</f>
        <v>22</v>
      </c>
      <c r="CH766" s="112" t="n">
        <f aca="false">IF($BY766&lt;=CH$615,MATCH($BY766,CG$617:CG$863,0))</f>
        <v>0</v>
      </c>
    </row>
    <row r="767" s="32" customFormat="true" ht="12.75" hidden="false" customHeight="false" outlineLevel="0" collapsed="false">
      <c r="AO767" s="343"/>
      <c r="BY767" s="333" t="n">
        <f aca="false">BY766+1</f>
        <v>151</v>
      </c>
      <c r="BZ767" s="327" t="str">
        <f aca="false">J278</f>
        <v>Kelia's Antidote</v>
      </c>
      <c r="CA767" s="112" t="n">
        <f aca="false">N278</f>
        <v>1</v>
      </c>
      <c r="CB767" s="112" t="n">
        <f aca="false">O278</f>
        <v>125</v>
      </c>
      <c r="CC767" s="112" t="n">
        <f aca="false">P278</f>
        <v>2</v>
      </c>
      <c r="CD767" s="329" t="e">
        <f aca="false">FIND(",",BZ767)</f>
        <v>#VALUE!</v>
      </c>
      <c r="CE767" s="329" t="str">
        <f aca="false">IF(ISERROR(CD767),BZ767,MID(BZ767,CD767+2,20)&amp;" "&amp;LEFT(BZ767,CD767-1))&amp;IF(ISERROR(VALUE(CA767)),"",IF(CA767&gt;1," ("&amp;CA767&amp;")",""))</f>
        <v>Kelia's Antidote</v>
      </c>
      <c r="CF767" s="329" t="n">
        <f aca="false">IF(CC767=" "," ",IF(ISERROR(VALUE(CA767)),CC767,CA767*CC767))</f>
        <v>2</v>
      </c>
      <c r="CG767" s="112" t="n">
        <f aca="false">CG766+IF(AND(BZ767&lt;&gt;0,CA767&lt;&gt;0),1,0)</f>
        <v>23</v>
      </c>
      <c r="CH767" s="112" t="n">
        <f aca="false">IF($BY767&lt;=CH$615,MATCH($BY767,CG$617:CG$863,0))</f>
        <v>0</v>
      </c>
    </row>
    <row r="768" s="32" customFormat="true" ht="12.75" hidden="false" customHeight="false" outlineLevel="0" collapsed="false">
      <c r="AO768" s="343"/>
      <c r="BY768" s="333" t="n">
        <f aca="false">BY767+1</f>
        <v>152</v>
      </c>
      <c r="BZ768" s="327" t="str">
        <f aca="false">J279</f>
        <v>Kelix's Poultice</v>
      </c>
      <c r="CA768" s="112" t="n">
        <f aca="false">N279</f>
        <v>0</v>
      </c>
      <c r="CB768" s="112" t="n">
        <f aca="false">O279</f>
        <v>50</v>
      </c>
      <c r="CC768" s="112" t="n">
        <f aca="false">P279</f>
        <v>1</v>
      </c>
      <c r="CD768" s="329" t="e">
        <f aca="false">FIND(",",BZ768)</f>
        <v>#VALUE!</v>
      </c>
      <c r="CE768" s="329" t="str">
        <f aca="false">IF(ISERROR(CD768),BZ768,MID(BZ768,CD768+2,20)&amp;" "&amp;LEFT(BZ768,CD768-1))&amp;IF(ISERROR(VALUE(CA768)),"",IF(CA768&gt;1," ("&amp;CA768&amp;")",""))</f>
        <v>Kelix's Poultice</v>
      </c>
      <c r="CF768" s="329" t="n">
        <f aca="false">IF(CC768=" "," ",IF(ISERROR(VALUE(CA768)),CC768,CA768*CC768))</f>
        <v>0</v>
      </c>
      <c r="CG768" s="112" t="n">
        <f aca="false">CG767+IF(AND(BZ768&lt;&gt;0,CA768&lt;&gt;0),1,0)</f>
        <v>23</v>
      </c>
      <c r="CH768" s="112" t="n">
        <f aca="false">IF($BY768&lt;=CH$615,MATCH($BY768,CG$617:CG$863,0))</f>
        <v>0</v>
      </c>
    </row>
    <row r="769" s="32" customFormat="true" ht="12.75" hidden="false" customHeight="false" outlineLevel="0" collapsed="false">
      <c r="AO769" s="343"/>
      <c r="BY769" s="333" t="n">
        <f aca="false">BY768+1</f>
        <v>153</v>
      </c>
      <c r="BZ769" s="327" t="str">
        <f aca="false">J280</f>
        <v>Last Chance Salve</v>
      </c>
      <c r="CA769" s="112" t="n">
        <f aca="false">N280</f>
        <v>1</v>
      </c>
      <c r="CB769" s="112" t="n">
        <f aca="false">O280</f>
        <v>600</v>
      </c>
      <c r="CC769" s="112" t="n">
        <f aca="false">P280</f>
        <v>1</v>
      </c>
      <c r="CD769" s="329" t="e">
        <f aca="false">FIND(",",BZ769)</f>
        <v>#VALUE!</v>
      </c>
      <c r="CE769" s="329" t="str">
        <f aca="false">IF(ISERROR(CD769),BZ769,MID(BZ769,CD769+2,20)&amp;" "&amp;LEFT(BZ769,CD769-1))&amp;IF(ISERROR(VALUE(CA769)),"",IF(CA769&gt;1," ("&amp;CA769&amp;")",""))</f>
        <v>Last Chance Salve</v>
      </c>
      <c r="CF769" s="329" t="n">
        <f aca="false">IF(CC769=" "," ",IF(ISERROR(VALUE(CA769)),CC769,CA769*CC769))</f>
        <v>1</v>
      </c>
      <c r="CG769" s="112" t="n">
        <f aca="false">CG768+IF(AND(BZ769&lt;&gt;0,CA769&lt;&gt;0),1,0)</f>
        <v>24</v>
      </c>
      <c r="CH769" s="112" t="n">
        <f aca="false">IF($BY769&lt;=CH$615,MATCH($BY769,CG$617:CG$863,0))</f>
        <v>0</v>
      </c>
    </row>
    <row r="770" s="32" customFormat="true" ht="12.75" hidden="false" customHeight="false" outlineLevel="0" collapsed="false">
      <c r="AO770" s="343"/>
      <c r="BY770" s="333" t="n">
        <f aca="false">BY769+1</f>
        <v>154</v>
      </c>
      <c r="BZ770" s="327" t="str">
        <f aca="false">J281</f>
        <v>Quicksilver</v>
      </c>
      <c r="CA770" s="112" t="n">
        <f aca="false">N281</f>
        <v>0</v>
      </c>
      <c r="CB770" s="112" t="n">
        <f aca="false">O281</f>
        <v>300</v>
      </c>
      <c r="CC770" s="112" t="n">
        <f aca="false">P281</f>
        <v>1</v>
      </c>
      <c r="CD770" s="329" t="e">
        <f aca="false">FIND(",",BZ770)</f>
        <v>#VALUE!</v>
      </c>
      <c r="CE770" s="329" t="str">
        <f aca="false">IF(ISERROR(CD770),BZ770,MID(BZ770,CD770+2,20)&amp;" "&amp;LEFT(BZ770,CD770-1))&amp;IF(ISERROR(VALUE(CA770)),"",IF(CA770&gt;1," ("&amp;CA770&amp;")",""))</f>
        <v>Quicksilver</v>
      </c>
      <c r="CF770" s="329" t="n">
        <f aca="false">IF(CC770=" "," ",IF(ISERROR(VALUE(CA770)),CC770,CA770*CC770))</f>
        <v>0</v>
      </c>
      <c r="CG770" s="112" t="n">
        <f aca="false">CG769+IF(AND(BZ770&lt;&gt;0,CA770&lt;&gt;0),1,0)</f>
        <v>24</v>
      </c>
      <c r="CH770" s="112" t="n">
        <f aca="false">IF($BY770&lt;=CH$615,MATCH($BY770,CG$617:CG$863,0))</f>
        <v>0</v>
      </c>
    </row>
    <row r="771" s="32" customFormat="true" ht="12.75" hidden="false" customHeight="false" outlineLevel="0" collapsed="false">
      <c r="AO771" s="343"/>
      <c r="BY771" s="333" t="n">
        <f aca="false">BY770+1</f>
        <v>155</v>
      </c>
      <c r="BZ771" s="327" t="str">
        <f aca="false">J282</f>
        <v>Resist Disease Potion</v>
      </c>
      <c r="CA771" s="112" t="n">
        <f aca="false">N282</f>
        <v>0</v>
      </c>
      <c r="CB771" s="112" t="n">
        <f aca="false">O282</f>
        <v>75</v>
      </c>
      <c r="CC771" s="112" t="n">
        <f aca="false">P282</f>
        <v>2</v>
      </c>
      <c r="CD771" s="329" t="e">
        <f aca="false">FIND(",",BZ771)</f>
        <v>#VALUE!</v>
      </c>
      <c r="CE771" s="329" t="str">
        <f aca="false">IF(ISERROR(CD771),BZ771,MID(BZ771,CD771+2,20)&amp;" "&amp;LEFT(BZ771,CD771-1))&amp;IF(ISERROR(VALUE(CA771)),"",IF(CA771&gt;1," ("&amp;CA771&amp;")",""))</f>
        <v>Resist Disease Potion</v>
      </c>
      <c r="CF771" s="329" t="n">
        <f aca="false">IF(CC771=" "," ",IF(ISERROR(VALUE(CA771)),CC771,CA771*CC771))</f>
        <v>0</v>
      </c>
      <c r="CG771" s="112" t="n">
        <f aca="false">CG770+IF(AND(BZ771&lt;&gt;0,CA771&lt;&gt;0),1,0)</f>
        <v>24</v>
      </c>
      <c r="CH771" s="112" t="n">
        <f aca="false">IF($BY771&lt;=CH$615,MATCH($BY771,CG$617:CG$863,0))</f>
        <v>0</v>
      </c>
    </row>
    <row r="772" s="32" customFormat="true" ht="12.75" hidden="false" customHeight="false" outlineLevel="0" collapsed="false">
      <c r="AO772" s="343"/>
      <c r="BY772" s="333" t="n">
        <f aca="false">BY771+1</f>
        <v>156</v>
      </c>
      <c r="BZ772" s="327" t="str">
        <f aca="false">J283</f>
        <v>Resist Poison Potion</v>
      </c>
      <c r="CA772" s="112" t="n">
        <f aca="false">N283</f>
        <v>0</v>
      </c>
      <c r="CB772" s="112" t="n">
        <f aca="false">O283</f>
        <v>125</v>
      </c>
      <c r="CC772" s="112" t="n">
        <f aca="false">P283</f>
        <v>1</v>
      </c>
      <c r="CD772" s="329" t="e">
        <f aca="false">FIND(",",BZ772)</f>
        <v>#VALUE!</v>
      </c>
      <c r="CE772" s="329" t="str">
        <f aca="false">IF(ISERROR(CD772),BZ772,MID(BZ772,CD772+2,20)&amp;" "&amp;LEFT(BZ772,CD772-1))&amp;IF(ISERROR(VALUE(CA772)),"",IF(CA772&gt;1," ("&amp;CA772&amp;")",""))</f>
        <v>Resist Poison Potion</v>
      </c>
      <c r="CF772" s="329" t="n">
        <f aca="false">IF(CC772=" "," ",IF(ISERROR(VALUE(CA772)),CC772,CA772*CC772))</f>
        <v>0</v>
      </c>
      <c r="CG772" s="112" t="n">
        <f aca="false">CG771+IF(AND(BZ772&lt;&gt;0,CA772&lt;&gt;0),1,0)</f>
        <v>24</v>
      </c>
      <c r="CH772" s="112" t="n">
        <f aca="false">IF($BY772&lt;=CH$615,MATCH($BY772,CG$617:CG$863,0))</f>
        <v>0</v>
      </c>
    </row>
    <row r="773" s="32" customFormat="true" ht="12.75" hidden="false" customHeight="false" outlineLevel="0" collapsed="false">
      <c r="AO773" s="343"/>
      <c r="BY773" s="333" t="n">
        <f aca="false">BY772+1</f>
        <v>157</v>
      </c>
      <c r="BZ773" s="327" t="str">
        <f aca="false">J284</f>
        <v>Salve of Closure</v>
      </c>
      <c r="CA773" s="112" t="n">
        <f aca="false">N284</f>
        <v>0</v>
      </c>
      <c r="CB773" s="112" t="n">
        <f aca="false">O284</f>
        <v>200</v>
      </c>
      <c r="CC773" s="112" t="n">
        <f aca="false">P284</f>
        <v>1</v>
      </c>
      <c r="CD773" s="329" t="e">
        <f aca="false">FIND(",",BZ773)</f>
        <v>#VALUE!</v>
      </c>
      <c r="CE773" s="329" t="str">
        <f aca="false">IF(ISERROR(CD773),BZ773,MID(BZ773,CD773+2,20)&amp;" "&amp;LEFT(BZ773,CD773-1))&amp;IF(ISERROR(VALUE(CA773)),"",IF(CA773&gt;1," ("&amp;CA773&amp;")",""))</f>
        <v>Salve of Closure</v>
      </c>
      <c r="CF773" s="329" t="n">
        <f aca="false">IF(CC773=" "," ",IF(ISERROR(VALUE(CA773)),CC773,CA773*CC773))</f>
        <v>0</v>
      </c>
      <c r="CG773" s="112" t="n">
        <f aca="false">CG772+IF(AND(BZ773&lt;&gt;0,CA773&lt;&gt;0),1,0)</f>
        <v>24</v>
      </c>
      <c r="CH773" s="112" t="n">
        <f aca="false">IF($BY773&lt;=CH$615,MATCH($BY773,CG$617:CG$863,0))</f>
        <v>0</v>
      </c>
    </row>
    <row r="774" s="32" customFormat="true" ht="12.75" hidden="false" customHeight="false" outlineLevel="0" collapsed="false">
      <c r="AO774" s="343"/>
      <c r="BY774" s="333" t="n">
        <f aca="false">BY773+1</f>
        <v>158</v>
      </c>
      <c r="BZ774" s="327" t="n">
        <f aca="false">J285</f>
        <v>0</v>
      </c>
      <c r="CA774" s="112" t="n">
        <f aca="false">N285</f>
        <v>0</v>
      </c>
      <c r="CB774" s="112" t="n">
        <f aca="false">O285</f>
        <v>0</v>
      </c>
      <c r="CC774" s="112" t="n">
        <f aca="false">P285</f>
        <v>0</v>
      </c>
      <c r="CD774" s="329" t="e">
        <f aca="false">FIND(",",BZ774)</f>
        <v>#VALUE!</v>
      </c>
      <c r="CE774" s="329" t="str">
        <f aca="false">IF(ISERROR(CD774),BZ774,MID(BZ774,CD774+2,20)&amp;" "&amp;LEFT(BZ774,CD774-1))&amp;IF(ISERROR(VALUE(CA774)),"",IF(CA774&gt;1," ("&amp;CA774&amp;")",""))</f>
        <v>0</v>
      </c>
      <c r="CF774" s="329" t="n">
        <f aca="false">IF(CC774=" "," ",IF(ISERROR(VALUE(CA774)),CC774,CA774*CC774))</f>
        <v>0</v>
      </c>
      <c r="CG774" s="112" t="n">
        <f aca="false">CG773+IF(AND(BZ774&lt;&gt;0,CA774&lt;&gt;0),1,0)</f>
        <v>24</v>
      </c>
      <c r="CH774" s="112" t="n">
        <f aca="false">IF($BY774&lt;=CH$615,MATCH($BY774,CG$617:CG$863,0))</f>
        <v>0</v>
      </c>
    </row>
    <row r="775" s="32" customFormat="true" ht="12.75" hidden="false" customHeight="false" outlineLevel="0" collapsed="false">
      <c r="AO775" s="343"/>
      <c r="BY775" s="333" t="n">
        <f aca="false">BY774+1</f>
        <v>159</v>
      </c>
      <c r="BZ775" s="327" t="n">
        <f aca="false">J286</f>
        <v>0</v>
      </c>
      <c r="CA775" s="112" t="n">
        <f aca="false">N286</f>
        <v>0</v>
      </c>
      <c r="CB775" s="112" t="n">
        <f aca="false">O286</f>
        <v>0</v>
      </c>
      <c r="CC775" s="112" t="n">
        <f aca="false">P286</f>
        <v>0</v>
      </c>
      <c r="CD775" s="329" t="e">
        <f aca="false">FIND(",",BZ775)</f>
        <v>#VALUE!</v>
      </c>
      <c r="CE775" s="329" t="str">
        <f aca="false">IF(ISERROR(CD775),BZ775,MID(BZ775,CD775+2,20)&amp;" "&amp;LEFT(BZ775,CD775-1))&amp;IF(ISERROR(VALUE(CA775)),"",IF(CA775&gt;1," ("&amp;CA775&amp;")",""))</f>
        <v>0</v>
      </c>
      <c r="CF775" s="329" t="n">
        <f aca="false">IF(CC775=" "," ",IF(ISERROR(VALUE(CA775)),CC775,CA775*CC775))</f>
        <v>0</v>
      </c>
      <c r="CG775" s="112" t="n">
        <f aca="false">CG774+IF(AND(BZ775&lt;&gt;0,CA775&lt;&gt;0),1,0)</f>
        <v>24</v>
      </c>
      <c r="CH775" s="112" t="n">
        <f aca="false">IF($BY775&lt;=CH$615,MATCH($BY775,CG$617:CG$863,0))</f>
        <v>0</v>
      </c>
      <c r="CJ775" s="42"/>
      <c r="CK775" s="42"/>
    </row>
    <row r="776" s="32" customFormat="true" ht="12.75" hidden="false" customHeight="false" outlineLevel="0" collapsed="false">
      <c r="AO776" s="343"/>
      <c r="BY776" s="333" t="n">
        <f aca="false">BY775+1</f>
        <v>160</v>
      </c>
      <c r="BZ776" s="327" t="n">
        <f aca="false">J287</f>
        <v>0</v>
      </c>
      <c r="CA776" s="112" t="n">
        <f aca="false">N287</f>
        <v>0</v>
      </c>
      <c r="CB776" s="112" t="n">
        <f aca="false">O287</f>
        <v>0</v>
      </c>
      <c r="CC776" s="112" t="n">
        <f aca="false">P287</f>
        <v>0</v>
      </c>
      <c r="CD776" s="329" t="e">
        <f aca="false">FIND(",",BZ776)</f>
        <v>#VALUE!</v>
      </c>
      <c r="CE776" s="329" t="str">
        <f aca="false">IF(ISERROR(CD776),BZ776,MID(BZ776,CD776+2,20)&amp;" "&amp;LEFT(BZ776,CD776-1))&amp;IF(ISERROR(VALUE(CA776)),"",IF(CA776&gt;1," ("&amp;CA776&amp;")",""))</f>
        <v>0</v>
      </c>
      <c r="CF776" s="329" t="n">
        <f aca="false">IF(CC776=" "," ",IF(ISERROR(VALUE(CA776)),CC776,CA776*CC776))</f>
        <v>0</v>
      </c>
      <c r="CG776" s="112" t="n">
        <f aca="false">CG775+IF(AND(BZ776&lt;&gt;0,CA776&lt;&gt;0),1,0)</f>
        <v>24</v>
      </c>
      <c r="CH776" s="112" t="n">
        <f aca="false">IF($BY776&lt;=CH$615,MATCH($BY776,CG$617:CG$863,0))</f>
        <v>0</v>
      </c>
    </row>
    <row r="777" s="32" customFormat="true" ht="12.75" hidden="false" customHeight="false" outlineLevel="0" collapsed="false">
      <c r="AO777" s="343"/>
      <c r="BY777" s="333" t="n">
        <f aca="false">BY776+1</f>
        <v>161</v>
      </c>
      <c r="BZ777" s="329" t="str">
        <f aca="false">R269</f>
        <v>Amulet of the Eye</v>
      </c>
      <c r="CA777" s="112" t="n">
        <f aca="false">V269</f>
        <v>0</v>
      </c>
      <c r="CB777" s="112" t="str">
        <f aca="false">W269</f>
        <v>*</v>
      </c>
      <c r="CC777" s="112" t="n">
        <f aca="false">X269</f>
        <v>1</v>
      </c>
      <c r="CD777" s="329" t="e">
        <f aca="false">FIND(",",BZ777)</f>
        <v>#VALUE!</v>
      </c>
      <c r="CE777" s="329" t="str">
        <f aca="false">IF(ISERROR(CD777),BZ777,MID(BZ777,CD777+2,20)&amp;" "&amp;LEFT(BZ777,CD777-1))&amp;IF(ISERROR(VALUE(CA777)),"",IF(CA777&gt;1," ("&amp;CA777&amp;")",""))</f>
        <v>Amulet of the Eye</v>
      </c>
      <c r="CF777" s="329" t="n">
        <f aca="false">IF(CC777=" "," ",IF(ISERROR(VALUE(CA777)),CC777,CA777*CC777))</f>
        <v>0</v>
      </c>
      <c r="CG777" s="112" t="n">
        <f aca="false">CG776+IF(AND(BZ777&lt;&gt;0,CA777&lt;&gt;0),1,0)</f>
        <v>24</v>
      </c>
      <c r="CH777" s="112" t="n">
        <f aca="false">IF($BY777&lt;=CH$615,MATCH($BY777,CG$617:CG$863,0))</f>
        <v>0</v>
      </c>
    </row>
    <row r="778" s="32" customFormat="true" ht="12.75" hidden="false" customHeight="false" outlineLevel="0" collapsed="false">
      <c r="AO778" s="343"/>
      <c r="BY778" s="333" t="n">
        <f aca="false">BY777+1</f>
        <v>162</v>
      </c>
      <c r="BZ778" s="329" t="str">
        <f aca="false">R270</f>
        <v>Arrow of the Assassin</v>
      </c>
      <c r="CA778" s="112" t="n">
        <f aca="false">V270</f>
        <v>0</v>
      </c>
      <c r="CB778" s="112" t="n">
        <f aca="false">W270</f>
        <v>500</v>
      </c>
      <c r="CC778" s="112" t="n">
        <f aca="false">X270</f>
        <v>0.25</v>
      </c>
      <c r="CD778" s="329" t="e">
        <f aca="false">FIND(",",BZ778)</f>
        <v>#VALUE!</v>
      </c>
      <c r="CE778" s="329" t="str">
        <f aca="false">IF(ISERROR(CD778),BZ778,MID(BZ778,CD778+2,20)&amp;" "&amp;LEFT(BZ778,CD778-1))&amp;IF(ISERROR(VALUE(CA778)),"",IF(CA778&gt;1," ("&amp;CA778&amp;")",""))</f>
        <v>Arrow of the Assassin</v>
      </c>
      <c r="CF778" s="329" t="n">
        <f aca="false">IF(CC778=" "," ",IF(ISERROR(VALUE(CA778)),CC778,CA778*CC778))</f>
        <v>0</v>
      </c>
      <c r="CG778" s="112" t="n">
        <f aca="false">CG777+IF(AND(BZ778&lt;&gt;0,CA778&lt;&gt;0),1,0)</f>
        <v>24</v>
      </c>
      <c r="CH778" s="112" t="n">
        <f aca="false">IF($BY778&lt;=CH$615,MATCH($BY778,CG$617:CG$863,0))</f>
        <v>0</v>
      </c>
    </row>
    <row r="779" s="32" customFormat="true" ht="12.75" hidden="false" customHeight="false" outlineLevel="0" collapsed="false">
      <c r="AO779" s="343"/>
      <c r="BY779" s="333" t="n">
        <f aca="false">BY778+1</f>
        <v>163</v>
      </c>
      <c r="BZ779" s="329" t="str">
        <f aca="false">R271</f>
        <v>Bedroll of Comfort</v>
      </c>
      <c r="CA779" s="112" t="n">
        <f aca="false">V271</f>
        <v>0</v>
      </c>
      <c r="CB779" s="112" t="n">
        <f aca="false">W271</f>
        <v>340</v>
      </c>
      <c r="CC779" s="112" t="n">
        <f aca="false">X271</f>
        <v>2</v>
      </c>
      <c r="CD779" s="329" t="e">
        <f aca="false">FIND(",",BZ779)</f>
        <v>#VALUE!</v>
      </c>
      <c r="CE779" s="329" t="str">
        <f aca="false">IF(ISERROR(CD779),BZ779,MID(BZ779,CD779+2,20)&amp;" "&amp;LEFT(BZ779,CD779-1))&amp;IF(ISERROR(VALUE(CA779)),"",IF(CA779&gt;1," ("&amp;CA779&amp;")",""))</f>
        <v>Bedroll of Comfort</v>
      </c>
      <c r="CF779" s="329" t="n">
        <f aca="false">IF(CC779=" "," ",IF(ISERROR(VALUE(CA779)),CC779,CA779*CC779))</f>
        <v>0</v>
      </c>
      <c r="CG779" s="112" t="n">
        <f aca="false">CG778+IF(AND(BZ779&lt;&gt;0,CA779&lt;&gt;0),1,0)</f>
        <v>24</v>
      </c>
      <c r="CH779" s="112" t="n">
        <f aca="false">IF($BY779&lt;=CH$615,MATCH($BY779,CG$617:CG$863,0))</f>
        <v>0</v>
      </c>
    </row>
    <row r="780" s="32" customFormat="true" ht="12.75" hidden="false" customHeight="false" outlineLevel="0" collapsed="false">
      <c r="AO780" s="343"/>
      <c r="BY780" s="333" t="n">
        <f aca="false">BY779+1</f>
        <v>164</v>
      </c>
      <c r="BZ780" s="329" t="str">
        <f aca="false">R272</f>
        <v>Boots, Dry</v>
      </c>
      <c r="CA780" s="112" t="n">
        <f aca="false">V272</f>
        <v>0</v>
      </c>
      <c r="CB780" s="112" t="n">
        <f aca="false">W272</f>
        <v>250</v>
      </c>
      <c r="CC780" s="112" t="n">
        <f aca="false">X272</f>
        <v>2</v>
      </c>
      <c r="CD780" s="329" t="n">
        <f aca="false">FIND(",",BZ780)</f>
        <v>6</v>
      </c>
      <c r="CE780" s="329" t="str">
        <f aca="false">IF(ISERROR(CD780),BZ780,MID(BZ780,CD780+2,20)&amp;" "&amp;LEFT(BZ780,CD780-1))&amp;IF(ISERROR(VALUE(CA780)),"",IF(CA780&gt;1," ("&amp;CA780&amp;")",""))</f>
        <v>Dry Boots</v>
      </c>
      <c r="CF780" s="329" t="n">
        <f aca="false">IF(CC780=" "," ",IF(ISERROR(VALUE(CA780)),CC780,CA780*CC780))</f>
        <v>0</v>
      </c>
      <c r="CG780" s="112" t="n">
        <f aca="false">CG779+IF(AND(BZ780&lt;&gt;0,CA780&lt;&gt;0),1,0)</f>
        <v>24</v>
      </c>
      <c r="CH780" s="112" t="n">
        <f aca="false">IF($BY780&lt;=CH$615,MATCH($BY780,CG$617:CG$863,0))</f>
        <v>0</v>
      </c>
    </row>
    <row r="781" s="32" customFormat="true" ht="12.75" hidden="false" customHeight="false" outlineLevel="0" collapsed="false">
      <c r="AO781" s="343"/>
      <c r="BY781" s="333" t="n">
        <f aca="false">BY780+1</f>
        <v>165</v>
      </c>
      <c r="BZ781" s="329" t="str">
        <f aca="false">R273</f>
        <v>Cleaning Broom</v>
      </c>
      <c r="CA781" s="112" t="n">
        <f aca="false">V273</f>
        <v>0</v>
      </c>
      <c r="CB781" s="112" t="n">
        <f aca="false">W273</f>
        <v>25</v>
      </c>
      <c r="CC781" s="112" t="n">
        <f aca="false">X273</f>
        <v>2</v>
      </c>
      <c r="CD781" s="329" t="e">
        <f aca="false">FIND(",",BZ781)</f>
        <v>#VALUE!</v>
      </c>
      <c r="CE781" s="329" t="str">
        <f aca="false">IF(ISERROR(CD781),BZ781,MID(BZ781,CD781+2,20)&amp;" "&amp;LEFT(BZ781,CD781-1))&amp;IF(ISERROR(VALUE(CA781)),"",IF(CA781&gt;1," ("&amp;CA781&amp;")",""))</f>
        <v>Cleaning Broom</v>
      </c>
      <c r="CF781" s="329" t="n">
        <f aca="false">IF(CC781=" "," ",IF(ISERROR(VALUE(CA781)),CC781,CA781*CC781))</f>
        <v>0</v>
      </c>
      <c r="CG781" s="112" t="n">
        <f aca="false">CG780+IF(AND(BZ781&lt;&gt;0,CA781&lt;&gt;0),1,0)</f>
        <v>24</v>
      </c>
      <c r="CH781" s="112" t="n">
        <f aca="false">IF($BY781&lt;=CH$615,MATCH($BY781,CG$617:CG$863,0))</f>
        <v>0</v>
      </c>
    </row>
    <row r="782" s="32" customFormat="true" ht="12.75" hidden="false" customHeight="false" outlineLevel="0" collapsed="false">
      <c r="AO782" s="343"/>
      <c r="BY782" s="333" t="n">
        <f aca="false">BY781+1</f>
        <v>166</v>
      </c>
      <c r="BZ782" s="329" t="str">
        <f aca="false">R274</f>
        <v>Cloak, Everclean</v>
      </c>
      <c r="CA782" s="112" t="n">
        <f aca="false">V274</f>
        <v>0</v>
      </c>
      <c r="CB782" s="112" t="n">
        <f aca="false">W274</f>
        <v>275</v>
      </c>
      <c r="CC782" s="112" t="n">
        <f aca="false">X274</f>
        <v>1</v>
      </c>
      <c r="CD782" s="329" t="n">
        <f aca="false">FIND(",",BZ782)</f>
        <v>6</v>
      </c>
      <c r="CE782" s="329" t="str">
        <f aca="false">IF(ISERROR(CD782),BZ782,MID(BZ782,CD782+2,20)&amp;" "&amp;LEFT(BZ782,CD782-1))&amp;IF(ISERROR(VALUE(CA782)),"",IF(CA782&gt;1," ("&amp;CA782&amp;")",""))</f>
        <v>Everclean Cloak</v>
      </c>
      <c r="CF782" s="329" t="n">
        <f aca="false">IF(CC782=" "," ",IF(ISERROR(VALUE(CA782)),CC782,CA782*CC782))</f>
        <v>0</v>
      </c>
      <c r="CG782" s="112" t="n">
        <f aca="false">CG781+IF(AND(BZ782&lt;&gt;0,CA782&lt;&gt;0),1,0)</f>
        <v>24</v>
      </c>
      <c r="CH782" s="112" t="n">
        <f aca="false">IF($BY782&lt;=CH$615,MATCH($BY782,CG$617:CG$863,0))</f>
        <v>0</v>
      </c>
    </row>
    <row r="783" s="32" customFormat="true" ht="12.75" hidden="false" customHeight="false" outlineLevel="0" collapsed="false">
      <c r="AO783" s="343"/>
      <c r="BY783" s="333" t="n">
        <f aca="false">BY782+1</f>
        <v>167</v>
      </c>
      <c r="BZ783" s="329" t="str">
        <f aca="false">R275</f>
        <v>Clingor Rope, per end*</v>
      </c>
      <c r="CA783" s="112" t="n">
        <f aca="false">V275</f>
        <v>0</v>
      </c>
      <c r="CB783" s="112" t="n">
        <f aca="false">W275</f>
        <v>120</v>
      </c>
      <c r="CC783" s="112" t="n">
        <f aca="false">X275</f>
        <v>1</v>
      </c>
      <c r="CD783" s="329" t="n">
        <f aca="false">FIND(",",BZ783)</f>
        <v>13</v>
      </c>
      <c r="CE783" s="329" t="str">
        <f aca="false">IF(ISERROR(CD783),BZ783,MID(BZ783,CD783+2,20)&amp;" "&amp;LEFT(BZ783,CD783-1))&amp;IF(ISERROR(VALUE(CA783)),"",IF(CA783&gt;1," ("&amp;CA783&amp;")",""))</f>
        <v>per end* Clingor Rope</v>
      </c>
      <c r="CF783" s="329" t="n">
        <f aca="false">IF(CC783=" "," ",IF(ISERROR(VALUE(CA783)),CC783,CA783*CC783))</f>
        <v>0</v>
      </c>
      <c r="CG783" s="112" t="n">
        <f aca="false">CG782+IF(AND(BZ783&lt;&gt;0,CA783&lt;&gt;0),1,0)</f>
        <v>24</v>
      </c>
      <c r="CH783" s="112" t="n">
        <f aca="false">IF($BY783&lt;=CH$615,MATCH($BY783,CG$617:CG$863,0))</f>
        <v>0</v>
      </c>
    </row>
    <row r="784" s="32" customFormat="true" ht="12.75" hidden="false" customHeight="false" outlineLevel="0" collapsed="false">
      <c r="AO784" s="343"/>
      <c r="BY784" s="333" t="n">
        <f aca="false">BY783+1</f>
        <v>168</v>
      </c>
      <c r="BZ784" s="329" t="str">
        <f aca="false">R276</f>
        <v>Cloak, Warm</v>
      </c>
      <c r="CA784" s="112" t="n">
        <f aca="false">V276</f>
        <v>0</v>
      </c>
      <c r="CB784" s="112" t="n">
        <f aca="false">W276</f>
        <v>300</v>
      </c>
      <c r="CC784" s="112" t="n">
        <f aca="false">X276</f>
        <v>2</v>
      </c>
      <c r="CD784" s="329" t="n">
        <f aca="false">FIND(",",BZ784)</f>
        <v>6</v>
      </c>
      <c r="CE784" s="329" t="str">
        <f aca="false">IF(ISERROR(CD784),BZ784,MID(BZ784,CD784+2,20)&amp;" "&amp;LEFT(BZ784,CD784-1))&amp;IF(ISERROR(VALUE(CA784)),"",IF(CA784&gt;1," ("&amp;CA784&amp;")",""))</f>
        <v>Warm Cloak</v>
      </c>
      <c r="CF784" s="329" t="n">
        <f aca="false">IF(CC784=" "," ",IF(ISERROR(VALUE(CA784)),CC784,CA784*CC784))</f>
        <v>0</v>
      </c>
      <c r="CG784" s="112" t="n">
        <f aca="false">CG783+IF(AND(BZ784&lt;&gt;0,CA784&lt;&gt;0),1,0)</f>
        <v>24</v>
      </c>
      <c r="CH784" s="112" t="n">
        <f aca="false">IF($BY784&lt;=CH$615,MATCH($BY784,CG$617:CG$863,0))</f>
        <v>0</v>
      </c>
    </row>
    <row r="785" s="32" customFormat="true" ht="12.75" hidden="false" customHeight="false" outlineLevel="0" collapsed="false">
      <c r="AO785" s="343"/>
      <c r="BY785" s="333" t="n">
        <f aca="false">BY784+1</f>
        <v>169</v>
      </c>
      <c r="BZ785" s="329" t="str">
        <f aca="false">R277</f>
        <v>Dry Bag</v>
      </c>
      <c r="CA785" s="112" t="n">
        <f aca="false">V277</f>
        <v>0</v>
      </c>
      <c r="CB785" s="112" t="n">
        <f aca="false">W277</f>
        <v>250</v>
      </c>
      <c r="CC785" s="112" t="n">
        <f aca="false">X277</f>
        <v>3</v>
      </c>
      <c r="CD785" s="329" t="e">
        <f aca="false">FIND(",",BZ785)</f>
        <v>#VALUE!</v>
      </c>
      <c r="CE785" s="329" t="str">
        <f aca="false">IF(ISERROR(CD785),BZ785,MID(BZ785,CD785+2,20)&amp;" "&amp;LEFT(BZ785,CD785-1))&amp;IF(ISERROR(VALUE(CA785)),"",IF(CA785&gt;1," ("&amp;CA785&amp;")",""))</f>
        <v>Dry Bag</v>
      </c>
      <c r="CF785" s="329" t="n">
        <f aca="false">IF(CC785=" "," ",IF(ISERROR(VALUE(CA785)),CC785,CA785*CC785))</f>
        <v>0</v>
      </c>
      <c r="CG785" s="112" t="n">
        <f aca="false">CG784+IF(AND(BZ785&lt;&gt;0,CA785&lt;&gt;0),1,0)</f>
        <v>24</v>
      </c>
      <c r="CH785" s="112" t="n">
        <f aca="false">IF($BY785&lt;=CH$615,MATCH($BY785,CG$617:CG$863,0))</f>
        <v>0</v>
      </c>
    </row>
    <row r="786" s="32" customFormat="true" ht="12.75" hidden="false" customHeight="false" outlineLevel="0" collapsed="false">
      <c r="AO786" s="343"/>
      <c r="BY786" s="333" t="n">
        <f aca="false">BY785+1</f>
        <v>170</v>
      </c>
      <c r="BZ786" s="329" t="str">
        <f aca="false">R278</f>
        <v>Fire Starter</v>
      </c>
      <c r="CA786" s="112" t="n">
        <f aca="false">V278</f>
        <v>0</v>
      </c>
      <c r="CB786" s="112" t="n">
        <f aca="false">W278</f>
        <v>100</v>
      </c>
      <c r="CC786" s="112" t="n">
        <f aca="false">X278</f>
        <v>2</v>
      </c>
      <c r="CD786" s="329" t="e">
        <f aca="false">FIND(",",BZ786)</f>
        <v>#VALUE!</v>
      </c>
      <c r="CE786" s="329" t="str">
        <f aca="false">IF(ISERROR(CD786),BZ786,MID(BZ786,CD786+2,20)&amp;" "&amp;LEFT(BZ786,CD786-1))&amp;IF(ISERROR(VALUE(CA786)),"",IF(CA786&gt;1," ("&amp;CA786&amp;")",""))</f>
        <v>Fire Starter</v>
      </c>
      <c r="CF786" s="329" t="n">
        <f aca="false">IF(CC786=" "," ",IF(ISERROR(VALUE(CA786)),CC786,CA786*CC786))</f>
        <v>0</v>
      </c>
      <c r="CG786" s="112" t="n">
        <f aca="false">CG785+IF(AND(BZ786&lt;&gt;0,CA786&lt;&gt;0),1,0)</f>
        <v>24</v>
      </c>
      <c r="CH786" s="112" t="n">
        <f aca="false">IF($BY786&lt;=CH$615,MATCH($BY786,CG$617:CG$863,0))</f>
        <v>0</v>
      </c>
    </row>
    <row r="787" s="32" customFormat="true" ht="12.75" hidden="false" customHeight="false" outlineLevel="0" collapsed="false">
      <c r="AO787" s="343"/>
      <c r="BY787" s="333" t="n">
        <f aca="false">BY786+1</f>
        <v>171</v>
      </c>
      <c r="BZ787" s="329" t="str">
        <f aca="false">R279</f>
        <v>Firefly Chalk (stick)</v>
      </c>
      <c r="CA787" s="112" t="n">
        <f aca="false">V279</f>
        <v>0</v>
      </c>
      <c r="CB787" s="112" t="n">
        <f aca="false">W279</f>
        <v>12</v>
      </c>
      <c r="CC787" s="112" t="n">
        <f aca="false">X279</f>
        <v>0</v>
      </c>
      <c r="CD787" s="329" t="e">
        <f aca="false">FIND(",",BZ787)</f>
        <v>#VALUE!</v>
      </c>
      <c r="CE787" s="329" t="str">
        <f aca="false">IF(ISERROR(CD787),BZ787,MID(BZ787,CD787+2,20)&amp;" "&amp;LEFT(BZ787,CD787-1))&amp;IF(ISERROR(VALUE(CA787)),"",IF(CA787&gt;1," ("&amp;CA787&amp;")",""))</f>
        <v>Firefly Chalk (stick)</v>
      </c>
      <c r="CF787" s="329" t="n">
        <f aca="false">IF(CC787=" "," ",IF(ISERROR(VALUE(CA787)),CC787,CA787*CC787))</f>
        <v>0</v>
      </c>
      <c r="CG787" s="112" t="n">
        <f aca="false">CG786+IF(AND(BZ787&lt;&gt;0,CA787&lt;&gt;0),1,0)</f>
        <v>24</v>
      </c>
      <c r="CH787" s="112" t="n">
        <f aca="false">IF($BY787&lt;=CH$615,MATCH($BY787,CG$617:CG$863,0))</f>
        <v>0</v>
      </c>
    </row>
    <row r="788" s="32" customFormat="true" ht="12.75" hidden="false" customHeight="false" outlineLevel="0" collapsed="false">
      <c r="AO788" s="343"/>
      <c r="BY788" s="333" t="n">
        <f aca="false">BY787+1</f>
        <v>172</v>
      </c>
      <c r="BZ788" s="329" t="str">
        <f aca="false">R280</f>
        <v>Floating Chair</v>
      </c>
      <c r="CA788" s="112" t="n">
        <f aca="false">V280</f>
        <v>0</v>
      </c>
      <c r="CB788" s="112" t="n">
        <f aca="false">W280</f>
        <v>250</v>
      </c>
      <c r="CC788" s="112" t="n">
        <f aca="false">X280</f>
        <v>0</v>
      </c>
      <c r="CD788" s="329" t="e">
        <f aca="false">FIND(",",BZ788)</f>
        <v>#VALUE!</v>
      </c>
      <c r="CE788" s="329" t="str">
        <f aca="false">IF(ISERROR(CD788),BZ788,MID(BZ788,CD788+2,20)&amp;" "&amp;LEFT(BZ788,CD788-1))&amp;IF(ISERROR(VALUE(CA788)),"",IF(CA788&gt;1," ("&amp;CA788&amp;")",""))</f>
        <v>Floating Chair</v>
      </c>
      <c r="CF788" s="329" t="n">
        <f aca="false">IF(CC788=" "," ",IF(ISERROR(VALUE(CA788)),CC788,CA788*CC788))</f>
        <v>0</v>
      </c>
      <c r="CG788" s="112" t="n">
        <f aca="false">CG787+IF(AND(BZ788&lt;&gt;0,CA788&lt;&gt;0),1,0)</f>
        <v>24</v>
      </c>
      <c r="CH788" s="112" t="n">
        <f aca="false">IF($BY788&lt;=CH$615,MATCH($BY788,CG$617:CG$863,0))</f>
        <v>0</v>
      </c>
    </row>
    <row r="789" s="32" customFormat="true" ht="12.75" hidden="false" customHeight="false" outlineLevel="0" collapsed="false">
      <c r="AO789" s="343"/>
      <c r="AP789" s="42"/>
      <c r="AQ789" s="42"/>
      <c r="AR789" s="42"/>
      <c r="AS789" s="42"/>
      <c r="AT789" s="42"/>
      <c r="AU789" s="42"/>
      <c r="BY789" s="333" t="n">
        <f aca="false">BY788+1</f>
        <v>173</v>
      </c>
      <c r="BZ789" s="329" t="str">
        <f aca="false">R281</f>
        <v>Floating Chair, Large</v>
      </c>
      <c r="CA789" s="112" t="n">
        <f aca="false">V281</f>
        <v>0</v>
      </c>
      <c r="CB789" s="112" t="n">
        <f aca="false">W281</f>
        <v>600</v>
      </c>
      <c r="CC789" s="112" t="n">
        <f aca="false">X281</f>
        <v>0</v>
      </c>
      <c r="CD789" s="329" t="n">
        <f aca="false">FIND(",",BZ789)</f>
        <v>15</v>
      </c>
      <c r="CE789" s="329" t="str">
        <f aca="false">IF(ISERROR(CD789),BZ789,MID(BZ789,CD789+2,20)&amp;" "&amp;LEFT(BZ789,CD789-1))&amp;IF(ISERROR(VALUE(CA789)),"",IF(CA789&gt;1," ("&amp;CA789&amp;")",""))</f>
        <v>Large Floating Chair</v>
      </c>
      <c r="CF789" s="329" t="n">
        <f aca="false">IF(CC789=" "," ",IF(ISERROR(VALUE(CA789)),CC789,CA789*CC789))</f>
        <v>0</v>
      </c>
      <c r="CG789" s="112" t="n">
        <f aca="false">CG788+IF(AND(BZ789&lt;&gt;0,CA789&lt;&gt;0),1,0)</f>
        <v>24</v>
      </c>
      <c r="CH789" s="112" t="n">
        <f aca="false">IF($BY789&lt;=CH$615,MATCH($BY789,CG$617:CG$863,0))</f>
        <v>0</v>
      </c>
    </row>
    <row r="790" s="32" customFormat="true" ht="12.75" hidden="false" customHeight="false" outlineLevel="0" collapsed="false">
      <c r="AO790" s="343"/>
      <c r="AP790" s="42"/>
      <c r="AQ790" s="42"/>
      <c r="AR790" s="42"/>
      <c r="AS790" s="42"/>
      <c r="AT790" s="42"/>
      <c r="AU790" s="42"/>
      <c r="BY790" s="333" t="n">
        <f aca="false">BY789+1</f>
        <v>174</v>
      </c>
      <c r="BZ790" s="329" t="str">
        <f aca="false">R282</f>
        <v>Ground Boots</v>
      </c>
      <c r="CA790" s="112" t="n">
        <f aca="false">V282</f>
        <v>0</v>
      </c>
      <c r="CB790" s="112" t="n">
        <f aca="false">W282</f>
        <v>300</v>
      </c>
      <c r="CC790" s="112" t="n">
        <f aca="false">X282</f>
        <v>10</v>
      </c>
      <c r="CD790" s="329" t="e">
        <f aca="false">FIND(",",BZ790)</f>
        <v>#VALUE!</v>
      </c>
      <c r="CE790" s="329" t="str">
        <f aca="false">IF(ISERROR(CD790),BZ790,MID(BZ790,CD790+2,20)&amp;" "&amp;LEFT(BZ790,CD790-1))&amp;IF(ISERROR(VALUE(CA790)),"",IF(CA790&gt;1," ("&amp;CA790&amp;")",""))</f>
        <v>Ground Boots</v>
      </c>
      <c r="CF790" s="329" t="n">
        <f aca="false">IF(CC790=" "," ",IF(ISERROR(VALUE(CA790)),CC790,CA790*CC790))</f>
        <v>0</v>
      </c>
      <c r="CG790" s="112" t="n">
        <f aca="false">CG789+IF(AND(BZ790&lt;&gt;0,CA790&lt;&gt;0),1,0)</f>
        <v>24</v>
      </c>
      <c r="CH790" s="112" t="n">
        <f aca="false">IF($BY790&lt;=CH$615,MATCH($BY790,CG$617:CG$863,0))</f>
        <v>0</v>
      </c>
    </row>
    <row r="791" s="32" customFormat="true" ht="12.75" hidden="false" customHeight="false" outlineLevel="0" collapsed="false">
      <c r="AO791" s="343"/>
      <c r="AP791" s="42"/>
      <c r="AQ791" s="42"/>
      <c r="AR791" s="42"/>
      <c r="AS791" s="42"/>
      <c r="AT791" s="42"/>
      <c r="AU791" s="42"/>
      <c r="BY791" s="333" t="n">
        <f aca="false">BY790+1</f>
        <v>175</v>
      </c>
      <c r="BZ791" s="329" t="str">
        <f aca="false">R283</f>
        <v>Hambrell's Contract</v>
      </c>
      <c r="CA791" s="112" t="n">
        <f aca="false">V283</f>
        <v>0</v>
      </c>
      <c r="CB791" s="112" t="n">
        <f aca="false">W283</f>
        <v>100</v>
      </c>
      <c r="CC791" s="112" t="n">
        <f aca="false">X283</f>
        <v>3</v>
      </c>
      <c r="CD791" s="329" t="e">
        <f aca="false">FIND(",",BZ791)</f>
        <v>#VALUE!</v>
      </c>
      <c r="CE791" s="329" t="str">
        <f aca="false">IF(ISERROR(CD791),BZ791,MID(BZ791,CD791+2,20)&amp;" "&amp;LEFT(BZ791,CD791-1))&amp;IF(ISERROR(VALUE(CA791)),"",IF(CA791&gt;1," ("&amp;CA791&amp;")",""))</f>
        <v>Hambrell's Contract</v>
      </c>
      <c r="CF791" s="329" t="n">
        <f aca="false">IF(CC791=" "," ",IF(ISERROR(VALUE(CA791)),CC791,CA791*CC791))</f>
        <v>0</v>
      </c>
      <c r="CG791" s="112" t="n">
        <f aca="false">CG790+IF(AND(BZ791&lt;&gt;0,CA791&lt;&gt;0),1,0)</f>
        <v>24</v>
      </c>
      <c r="CH791" s="112" t="n">
        <f aca="false">IF($BY791&lt;=CH$615,MATCH($BY791,CG$617:CG$863,0))</f>
        <v>0</v>
      </c>
    </row>
    <row r="792" s="32" customFormat="true" ht="12.75" hidden="false" customHeight="false" outlineLevel="0" collapsed="false">
      <c r="AO792" s="343"/>
      <c r="AP792" s="42"/>
      <c r="AQ792" s="42"/>
      <c r="AR792" s="42"/>
      <c r="AS792" s="42"/>
      <c r="AT792" s="42"/>
      <c r="AU792" s="42"/>
      <c r="BY792" s="333" t="n">
        <f aca="false">BY791+1</f>
        <v>176</v>
      </c>
      <c r="BZ792" s="329" t="str">
        <f aca="false">R284</f>
        <v>Heat Stone</v>
      </c>
      <c r="CA792" s="112" t="n">
        <f aca="false">V284</f>
        <v>0</v>
      </c>
      <c r="CB792" s="112" t="n">
        <f aca="false">W284</f>
        <v>100</v>
      </c>
      <c r="CC792" s="112" t="n">
        <f aca="false">X284</f>
        <v>3</v>
      </c>
      <c r="CD792" s="329" t="e">
        <f aca="false">FIND(",",BZ792)</f>
        <v>#VALUE!</v>
      </c>
      <c r="CE792" s="329" t="str">
        <f aca="false">IF(ISERROR(CD792),BZ792,MID(BZ792,CD792+2,20)&amp;" "&amp;LEFT(BZ792,CD792-1))&amp;IF(ISERROR(VALUE(CA792)),"",IF(CA792&gt;1," ("&amp;CA792&amp;")",""))</f>
        <v>Heat Stone</v>
      </c>
      <c r="CF792" s="329" t="n">
        <f aca="false">IF(CC792=" "," ",IF(ISERROR(VALUE(CA792)),CC792,CA792*CC792))</f>
        <v>0</v>
      </c>
      <c r="CG792" s="112" t="n">
        <f aca="false">CG791+IF(AND(BZ792&lt;&gt;0,CA792&lt;&gt;0),1,0)</f>
        <v>24</v>
      </c>
      <c r="CH792" s="112" t="n">
        <f aca="false">IF($BY792&lt;=CH$615,MATCH($BY792,CG$617:CG$863,0))</f>
        <v>0</v>
      </c>
    </row>
    <row r="793" s="32" customFormat="true" ht="12.75" hidden="false" customHeight="false" outlineLevel="0" collapsed="false">
      <c r="AO793" s="343"/>
      <c r="AP793" s="42"/>
      <c r="AQ793" s="42"/>
      <c r="AR793" s="42"/>
      <c r="AS793" s="42"/>
      <c r="AT793" s="42"/>
      <c r="AU793" s="42"/>
      <c r="BY793" s="333" t="n">
        <f aca="false">BY792+1</f>
        <v>177</v>
      </c>
      <c r="BZ793" s="329" t="str">
        <f aca="false">R285</f>
        <v>Hot Pot</v>
      </c>
      <c r="CA793" s="112" t="n">
        <f aca="false">V285</f>
        <v>0</v>
      </c>
      <c r="CB793" s="112" t="n">
        <f aca="false">W285</f>
        <v>100</v>
      </c>
      <c r="CC793" s="112" t="n">
        <f aca="false">X285</f>
        <v>8</v>
      </c>
      <c r="CD793" s="329" t="e">
        <f aca="false">FIND(",",BZ793)</f>
        <v>#VALUE!</v>
      </c>
      <c r="CE793" s="329" t="str">
        <f aca="false">IF(ISERROR(CD793),BZ793,MID(BZ793,CD793+2,20)&amp;" "&amp;LEFT(BZ793,CD793-1))&amp;IF(ISERROR(VALUE(CA793)),"",IF(CA793&gt;1," ("&amp;CA793&amp;")",""))</f>
        <v>Hot Pot</v>
      </c>
      <c r="CF793" s="329" t="n">
        <f aca="false">IF(CC793=" "," ",IF(ISERROR(VALUE(CA793)),CC793,CA793*CC793))</f>
        <v>0</v>
      </c>
      <c r="CG793" s="112" t="n">
        <f aca="false">CG792+IF(AND(BZ793&lt;&gt;0,CA793&lt;&gt;0),1,0)</f>
        <v>24</v>
      </c>
      <c r="CH793" s="112" t="n">
        <f aca="false">IF($BY793&lt;=CH$615,MATCH($BY793,CG$617:CG$863,0))</f>
        <v>0</v>
      </c>
    </row>
    <row r="794" s="32" customFormat="true" ht="12.75" hidden="false" customHeight="false" outlineLevel="0" collapsed="false">
      <c r="AO794" s="343"/>
      <c r="AP794" s="42"/>
      <c r="AQ794" s="42"/>
      <c r="AR794" s="42"/>
      <c r="AS794" s="42"/>
      <c r="AT794" s="42"/>
      <c r="AU794" s="42"/>
      <c r="BY794" s="333" t="n">
        <f aca="false">BY793+1</f>
        <v>178</v>
      </c>
      <c r="BZ794" s="329" t="str">
        <f aca="false">R286</f>
        <v>Light Bag</v>
      </c>
      <c r="CA794" s="112" t="n">
        <f aca="false">V286</f>
        <v>0</v>
      </c>
      <c r="CB794" s="112" t="n">
        <f aca="false">W286</f>
        <v>500</v>
      </c>
      <c r="CC794" s="112" t="n">
        <f aca="false">X286</f>
        <v>3</v>
      </c>
      <c r="CD794" s="329" t="e">
        <f aca="false">FIND(",",BZ794)</f>
        <v>#VALUE!</v>
      </c>
      <c r="CE794" s="329" t="str">
        <f aca="false">IF(ISERROR(CD794),BZ794,MID(BZ794,CD794+2,20)&amp;" "&amp;LEFT(BZ794,CD794-1))&amp;IF(ISERROR(VALUE(CA794)),"",IF(CA794&gt;1," ("&amp;CA794&amp;")",""))</f>
        <v>Light Bag</v>
      </c>
      <c r="CF794" s="329" t="n">
        <f aca="false">IF(CC794=" "," ",IF(ISERROR(VALUE(CA794)),CC794,CA794*CC794))</f>
        <v>0</v>
      </c>
      <c r="CG794" s="112" t="n">
        <f aca="false">CG793+IF(AND(BZ794&lt;&gt;0,CA794&lt;&gt;0),1,0)</f>
        <v>24</v>
      </c>
      <c r="CH794" s="112" t="n">
        <f aca="false">IF($BY794&lt;=CH$615,MATCH($BY794,CG$617:CG$863,0))</f>
        <v>0</v>
      </c>
    </row>
    <row r="795" s="32" customFormat="true" ht="12.75" hidden="false" customHeight="false" outlineLevel="0" collapsed="false">
      <c r="AO795" s="343"/>
      <c r="AP795" s="42"/>
      <c r="AQ795" s="42"/>
      <c r="AR795" s="42"/>
      <c r="AS795" s="42"/>
      <c r="AT795" s="42"/>
      <c r="AU795" s="42"/>
      <c r="BY795" s="333" t="n">
        <f aca="false">BY794+1</f>
        <v>179</v>
      </c>
      <c r="BZ795" s="329" t="str">
        <f aca="false">R287</f>
        <v>Light Quartz, Large</v>
      </c>
      <c r="CA795" s="112" t="n">
        <f aca="false">V287</f>
        <v>0</v>
      </c>
      <c r="CB795" s="112" t="n">
        <f aca="false">W287</f>
        <v>200</v>
      </c>
      <c r="CC795" s="112" t="n">
        <f aca="false">X287</f>
        <v>20</v>
      </c>
      <c r="CD795" s="329" t="n">
        <f aca="false">FIND(",",BZ795)</f>
        <v>13</v>
      </c>
      <c r="CE795" s="329" t="str">
        <f aca="false">IF(ISERROR(CD795),BZ795,MID(BZ795,CD795+2,20)&amp;" "&amp;LEFT(BZ795,CD795-1))&amp;IF(ISERROR(VALUE(CA795)),"",IF(CA795&gt;1," ("&amp;CA795&amp;")",""))</f>
        <v>Large Light Quartz</v>
      </c>
      <c r="CF795" s="329" t="n">
        <f aca="false">IF(CC795=" "," ",IF(ISERROR(VALUE(CA795)),CC795,CA795*CC795))</f>
        <v>0</v>
      </c>
      <c r="CG795" s="112" t="n">
        <f aca="false">CG794+IF(AND(BZ795&lt;&gt;0,CA795&lt;&gt;0),1,0)</f>
        <v>24</v>
      </c>
      <c r="CH795" s="112" t="n">
        <f aca="false">IF($BY795&lt;=CH$615,MATCH($BY795,CG$617:CG$863,0))</f>
        <v>0</v>
      </c>
    </row>
    <row r="796" customFormat="false" ht="12.75" hidden="false" customHeight="false" outlineLevel="0" collapsed="false">
      <c r="BY796" s="333" t="n">
        <f aca="false">BY795+1</f>
        <v>180</v>
      </c>
      <c r="BZ796" s="329" t="str">
        <f aca="false">R288</f>
        <v>Light Quartz, Medium</v>
      </c>
      <c r="CA796" s="112" t="n">
        <f aca="false">V288</f>
        <v>0</v>
      </c>
      <c r="CB796" s="112" t="n">
        <f aca="false">W288</f>
        <v>125</v>
      </c>
      <c r="CC796" s="112" t="n">
        <f aca="false">X288</f>
        <v>6</v>
      </c>
      <c r="CD796" s="329" t="n">
        <f aca="false">FIND(",",BZ796)</f>
        <v>13</v>
      </c>
      <c r="CE796" s="329" t="str">
        <f aca="false">IF(ISERROR(CD796),BZ796,MID(BZ796,CD796+2,20)&amp;" "&amp;LEFT(BZ796,CD796-1))&amp;IF(ISERROR(VALUE(CA796)),"",IF(CA796&gt;1," ("&amp;CA796&amp;")",""))</f>
        <v>Medium Light Quartz</v>
      </c>
      <c r="CF796" s="329" t="n">
        <f aca="false">IF(CC796=" "," ",IF(ISERROR(VALUE(CA796)),CC796,CA796*CC796))</f>
        <v>0</v>
      </c>
      <c r="CG796" s="112" t="n">
        <f aca="false">CG795+IF(AND(BZ796&lt;&gt;0,CA796&lt;&gt;0),1,0)</f>
        <v>24</v>
      </c>
      <c r="CH796" s="112" t="n">
        <f aca="false">IF($BY796&lt;=CH$615,MATCH($BY796,CG$617:CG$863,0))</f>
        <v>0</v>
      </c>
    </row>
    <row r="797" customFormat="false" ht="12.75" hidden="false" customHeight="false" outlineLevel="0" collapsed="false">
      <c r="BY797" s="333" t="n">
        <f aca="false">BY796+1</f>
        <v>181</v>
      </c>
      <c r="BZ797" s="329" t="str">
        <f aca="false">R289</f>
        <v>Light Quartz, Small</v>
      </c>
      <c r="CA797" s="112" t="n">
        <f aca="false">V289</f>
        <v>1</v>
      </c>
      <c r="CB797" s="112" t="n">
        <f aca="false">W289</f>
        <v>75</v>
      </c>
      <c r="CC797" s="112" t="n">
        <f aca="false">X289</f>
        <v>2</v>
      </c>
      <c r="CD797" s="329" t="n">
        <f aca="false">FIND(",",BZ797)</f>
        <v>13</v>
      </c>
      <c r="CE797" s="329" t="str">
        <f aca="false">IF(ISERROR(CD797),BZ797,MID(BZ797,CD797+2,20)&amp;" "&amp;LEFT(BZ797,CD797-1))&amp;IF(ISERROR(VALUE(CA797)),"",IF(CA797&gt;1," ("&amp;CA797&amp;")",""))</f>
        <v>Small Light Quartz</v>
      </c>
      <c r="CF797" s="329" t="n">
        <f aca="false">IF(CC797=" "," ",IF(ISERROR(VALUE(CA797)),CC797,CA797*CC797))</f>
        <v>2</v>
      </c>
      <c r="CG797" s="112" t="n">
        <f aca="false">CG796+IF(AND(BZ797&lt;&gt;0,CA797&lt;&gt;0),1,0)</f>
        <v>25</v>
      </c>
      <c r="CH797" s="112" t="n">
        <f aca="false">IF($BY797&lt;=CH$615,MATCH($BY797,CG$617:CG$863,0))</f>
        <v>0</v>
      </c>
    </row>
    <row r="798" customFormat="false" ht="12.75" hidden="false" customHeight="false" outlineLevel="0" collapsed="false">
      <c r="BY798" s="333" t="n">
        <f aca="false">BY797+1</f>
        <v>182</v>
      </c>
      <c r="BZ798" s="329" t="str">
        <f aca="false">R290</f>
        <v>Message Stone</v>
      </c>
      <c r="CA798" s="112" t="n">
        <f aca="false">V290</f>
        <v>0</v>
      </c>
      <c r="CB798" s="112" t="n">
        <f aca="false">W290</f>
        <v>300</v>
      </c>
      <c r="CC798" s="112" t="n">
        <f aca="false">X290</f>
        <v>2</v>
      </c>
      <c r="CD798" s="329" t="e">
        <f aca="false">FIND(",",BZ798)</f>
        <v>#VALUE!</v>
      </c>
      <c r="CE798" s="329" t="str">
        <f aca="false">IF(ISERROR(CD798),BZ798,MID(BZ798,CD798+2,20)&amp;" "&amp;LEFT(BZ798,CD798-1))&amp;IF(ISERROR(VALUE(CA798)),"",IF(CA798&gt;1," ("&amp;CA798&amp;")",""))</f>
        <v>Message Stone</v>
      </c>
      <c r="CF798" s="329" t="n">
        <f aca="false">IF(CC798=" "," ",IF(ISERROR(VALUE(CA798)),CC798,CA798*CC798))</f>
        <v>0</v>
      </c>
      <c r="CG798" s="112" t="n">
        <f aca="false">CG797+IF(AND(BZ798&lt;&gt;0,CA798&lt;&gt;0),1,0)</f>
        <v>25</v>
      </c>
      <c r="CH798" s="112" t="n">
        <f aca="false">IF($BY798&lt;=CH$615,MATCH($BY798,CG$617:CG$863,0))</f>
        <v>0</v>
      </c>
    </row>
    <row r="799" customFormat="false" ht="12.75" hidden="false" customHeight="false" outlineLevel="0" collapsed="false">
      <c r="BY799" s="333" t="n">
        <f aca="false">BY798+1</f>
        <v>183</v>
      </c>
      <c r="BZ799" s="329" t="str">
        <f aca="false">R291</f>
        <v>Message Stone, Warded</v>
      </c>
      <c r="CA799" s="112" t="n">
        <f aca="false">V291</f>
        <v>0</v>
      </c>
      <c r="CB799" s="112" t="n">
        <f aca="false">W291</f>
        <v>600</v>
      </c>
      <c r="CC799" s="112" t="n">
        <f aca="false">X291</f>
        <v>2</v>
      </c>
      <c r="CD799" s="329" t="n">
        <f aca="false">FIND(",",BZ799)</f>
        <v>14</v>
      </c>
      <c r="CE799" s="329" t="str">
        <f aca="false">IF(ISERROR(CD799),BZ799,MID(BZ799,CD799+2,20)&amp;" "&amp;LEFT(BZ799,CD799-1))&amp;IF(ISERROR(VALUE(CA799)),"",IF(CA799&gt;1," ("&amp;CA799&amp;")",""))</f>
        <v>Warded Message Stone</v>
      </c>
      <c r="CF799" s="329" t="n">
        <f aca="false">IF(CC799=" "," ",IF(ISERROR(VALUE(CA799)),CC799,CA799*CC799))</f>
        <v>0</v>
      </c>
      <c r="CG799" s="112" t="n">
        <f aca="false">CG798+IF(AND(BZ799&lt;&gt;0,CA799&lt;&gt;0),1,0)</f>
        <v>25</v>
      </c>
      <c r="CH799" s="112" t="n">
        <f aca="false">IF($BY799&lt;=CH$615,MATCH($BY799,CG$617:CG$863,0))</f>
        <v>0</v>
      </c>
    </row>
    <row r="800" customFormat="false" ht="12.75" hidden="false" customHeight="false" outlineLevel="0" collapsed="false">
      <c r="BY800" s="333" t="n">
        <f aca="false">BY799+1</f>
        <v>184</v>
      </c>
      <c r="BZ800" s="329" t="str">
        <f aca="false">R292</f>
        <v>Night-black Blades</v>
      </c>
      <c r="CA800" s="112" t="n">
        <f aca="false">V292</f>
        <v>0</v>
      </c>
      <c r="CB800" s="112" t="str">
        <f aca="false">W292</f>
        <v>*</v>
      </c>
      <c r="CC800" s="112" t="str">
        <f aca="false">X292</f>
        <v>*</v>
      </c>
      <c r="CD800" s="329" t="e">
        <f aca="false">FIND(",",BZ800)</f>
        <v>#VALUE!</v>
      </c>
      <c r="CE800" s="329" t="str">
        <f aca="false">IF(ISERROR(CD800),BZ800,MID(BZ800,CD800+2,20)&amp;" "&amp;LEFT(BZ800,CD800-1))&amp;IF(ISERROR(VALUE(CA800)),"",IF(CA800&gt;1," ("&amp;CA800&amp;")",""))</f>
        <v>Night-black Blades</v>
      </c>
      <c r="CF800" s="329" t="e">
        <f aca="false">IF(CC800=" "," ",IF(ISERROR(VALUE(CA800)),CC800,CA800*CC800))</f>
        <v>#VALUE!</v>
      </c>
      <c r="CG800" s="112" t="n">
        <f aca="false">CG799+IF(AND(BZ800&lt;&gt;0,CA800&lt;&gt;0),1,0)</f>
        <v>25</v>
      </c>
      <c r="CH800" s="112" t="n">
        <f aca="false">IF($BY800&lt;=CH$615,MATCH($BY800,CG$617:CG$863,0))</f>
        <v>0</v>
      </c>
    </row>
    <row r="801" customFormat="false" ht="12.75" hidden="false" customHeight="false" outlineLevel="0" collapsed="false">
      <c r="BY801" s="333" t="n">
        <f aca="false">BY800+1</f>
        <v>185</v>
      </c>
      <c r="BZ801" s="329" t="str">
        <f aca="false">R293</f>
        <v>Pot of Grumbah, Large</v>
      </c>
      <c r="CA801" s="112" t="n">
        <f aca="false">V293</f>
        <v>0</v>
      </c>
      <c r="CB801" s="112" t="n">
        <f aca="false">W293</f>
        <v>200</v>
      </c>
      <c r="CC801" s="112" t="n">
        <f aca="false">X293</f>
        <v>5</v>
      </c>
      <c r="CD801" s="329" t="n">
        <f aca="false">FIND(",",BZ801)</f>
        <v>15</v>
      </c>
      <c r="CE801" s="329" t="str">
        <f aca="false">IF(ISERROR(CD801),BZ801,MID(BZ801,CD801+2,20)&amp;" "&amp;LEFT(BZ801,CD801-1))&amp;IF(ISERROR(VALUE(CA801)),"",IF(CA801&gt;1," ("&amp;CA801&amp;")",""))</f>
        <v>Large Pot of Grumbah</v>
      </c>
      <c r="CF801" s="329" t="n">
        <f aca="false">IF(CC801=" "," ",IF(ISERROR(VALUE(CA801)),CC801,CA801*CC801))</f>
        <v>0</v>
      </c>
      <c r="CG801" s="112" t="n">
        <f aca="false">CG800+IF(AND(BZ801&lt;&gt;0,CA801&lt;&gt;0),1,0)</f>
        <v>25</v>
      </c>
      <c r="CH801" s="112" t="n">
        <f aca="false">IF($BY801&lt;=CH$615,MATCH($BY801,CG$617:CG$863,0))</f>
        <v>0</v>
      </c>
    </row>
    <row r="802" customFormat="false" ht="12.75" hidden="false" customHeight="false" outlineLevel="0" collapsed="false">
      <c r="BY802" s="333" t="n">
        <f aca="false">BY801+1</f>
        <v>186</v>
      </c>
      <c r="BZ802" s="329" t="str">
        <f aca="false">R294</f>
        <v>Pot of Grumbah, Small</v>
      </c>
      <c r="CA802" s="112" t="n">
        <f aca="false">V294</f>
        <v>0</v>
      </c>
      <c r="CB802" s="112" t="n">
        <f aca="false">W294</f>
        <v>75</v>
      </c>
      <c r="CC802" s="112" t="n">
        <f aca="false">X294</f>
        <v>2</v>
      </c>
      <c r="CD802" s="329" t="n">
        <f aca="false">FIND(",",BZ802)</f>
        <v>15</v>
      </c>
      <c r="CE802" s="329" t="str">
        <f aca="false">IF(ISERROR(CD802),BZ802,MID(BZ802,CD802+2,20)&amp;" "&amp;LEFT(BZ802,CD802-1))&amp;IF(ISERROR(VALUE(CA802)),"",IF(CA802&gt;1," ("&amp;CA802&amp;")",""))</f>
        <v>Small Pot of Grumbah</v>
      </c>
      <c r="CF802" s="329" t="n">
        <f aca="false">IF(CC802=" "," ",IF(ISERROR(VALUE(CA802)),CC802,CA802*CC802))</f>
        <v>0</v>
      </c>
      <c r="CG802" s="112" t="n">
        <f aca="false">CG801+IF(AND(BZ802&lt;&gt;0,CA802&lt;&gt;0),1,0)</f>
        <v>25</v>
      </c>
      <c r="CH802" s="112" t="n">
        <f aca="false">IF($BY802&lt;=CH$615,MATCH($BY802,CG$617:CG$863,0))</f>
        <v>0</v>
      </c>
    </row>
    <row r="803" customFormat="false" ht="12.75" hidden="false" customHeight="false" outlineLevel="0" collapsed="false">
      <c r="BY803" s="333" t="n">
        <f aca="false">BY802+1</f>
        <v>187</v>
      </c>
      <c r="BZ803" s="329" t="str">
        <f aca="false">R295</f>
        <v>Quiet Pouch</v>
      </c>
      <c r="CA803" s="112" t="n">
        <f aca="false">V295</f>
        <v>0</v>
      </c>
      <c r="CB803" s="112" t="n">
        <f aca="false">W295</f>
        <v>65</v>
      </c>
      <c r="CC803" s="112" t="n">
        <f aca="false">X295</f>
        <v>2</v>
      </c>
      <c r="CD803" s="329" t="e">
        <f aca="false">FIND(",",BZ803)</f>
        <v>#VALUE!</v>
      </c>
      <c r="CE803" s="329" t="str">
        <f aca="false">IF(ISERROR(CD803),BZ803,MID(BZ803,CD803+2,20)&amp;" "&amp;LEFT(BZ803,CD803-1))&amp;IF(ISERROR(VALUE(CA803)),"",IF(CA803&gt;1," ("&amp;CA803&amp;")",""))</f>
        <v>Quiet Pouch</v>
      </c>
      <c r="CF803" s="329" t="n">
        <f aca="false">IF(CC803=" "," ",IF(ISERROR(VALUE(CA803)),CC803,CA803*CC803))</f>
        <v>0</v>
      </c>
      <c r="CG803" s="112" t="n">
        <f aca="false">CG802+IF(AND(BZ803&lt;&gt;0,CA803&lt;&gt;0),1,0)</f>
        <v>25</v>
      </c>
      <c r="CH803" s="112" t="n">
        <f aca="false">IF($BY803&lt;=CH$615,MATCH($BY803,CG$617:CG$863,0))</f>
        <v>0</v>
      </c>
    </row>
    <row r="804" customFormat="false" ht="12.75" hidden="false" customHeight="false" outlineLevel="0" collapsed="false">
      <c r="BY804" s="333" t="n">
        <f aca="false">BY803+1</f>
        <v>188</v>
      </c>
      <c r="BZ804" s="329" t="str">
        <f aca="false">R296</f>
        <v>Scaless Pouch</v>
      </c>
      <c r="CA804" s="112" t="n">
        <f aca="false">V296</f>
        <v>0</v>
      </c>
      <c r="CB804" s="112" t="n">
        <f aca="false">W296</f>
        <v>150</v>
      </c>
      <c r="CC804" s="112" t="n">
        <f aca="false">X296</f>
        <v>1</v>
      </c>
      <c r="CD804" s="329" t="e">
        <f aca="false">FIND(",",BZ804)</f>
        <v>#VALUE!</v>
      </c>
      <c r="CE804" s="329" t="str">
        <f aca="false">IF(ISERROR(CD804),BZ804,MID(BZ804,CD804+2,20)&amp;" "&amp;LEFT(BZ804,CD804-1))&amp;IF(ISERROR(VALUE(CA804)),"",IF(CA804&gt;1," ("&amp;CA804&amp;")",""))</f>
        <v>Scaless Pouch</v>
      </c>
      <c r="CF804" s="329" t="n">
        <f aca="false">IF(CC804=" "," ",IF(ISERROR(VALUE(CA804)),CC804,CA804*CC804))</f>
        <v>0</v>
      </c>
      <c r="CG804" s="112" t="n">
        <f aca="false">CG803+IF(AND(BZ804&lt;&gt;0,CA804&lt;&gt;0),1,0)</f>
        <v>25</v>
      </c>
      <c r="CH804" s="112" t="n">
        <f aca="false">IF($BY804&lt;=CH$615,MATCH($BY804,CG$617:CG$863,0))</f>
        <v>0</v>
      </c>
    </row>
    <row r="805" customFormat="false" ht="12.75" hidden="false" customHeight="false" outlineLevel="0" collapsed="false">
      <c r="BY805" s="333" t="n">
        <f aca="false">BY804+1</f>
        <v>189</v>
      </c>
      <c r="BZ805" s="329" t="str">
        <f aca="false">R297</f>
        <v>Season Lamp</v>
      </c>
      <c r="CA805" s="112" t="n">
        <f aca="false">V297</f>
        <v>0</v>
      </c>
      <c r="CB805" s="112" t="n">
        <f aca="false">W297</f>
        <v>350</v>
      </c>
      <c r="CC805" s="112" t="n">
        <f aca="false">X297</f>
        <v>0</v>
      </c>
      <c r="CD805" s="329" t="e">
        <f aca="false">FIND(",",BZ805)</f>
        <v>#VALUE!</v>
      </c>
      <c r="CE805" s="329" t="str">
        <f aca="false">IF(ISERROR(CD805),BZ805,MID(BZ805,CD805+2,20)&amp;" "&amp;LEFT(BZ805,CD805-1))&amp;IF(ISERROR(VALUE(CA805)),"",IF(CA805&gt;1," ("&amp;CA805&amp;")",""))</f>
        <v>Season Lamp</v>
      </c>
      <c r="CF805" s="329" t="n">
        <f aca="false">IF(CC805=" "," ",IF(ISERROR(VALUE(CA805)),CC805,CA805*CC805))</f>
        <v>0</v>
      </c>
      <c r="CG805" s="112" t="n">
        <f aca="false">CG804+IF(AND(BZ805&lt;&gt;0,CA805&lt;&gt;0),1,0)</f>
        <v>25</v>
      </c>
      <c r="CH805" s="112" t="n">
        <f aca="false">IF($BY805&lt;=CH$615,MATCH($BY805,CG$617:CG$863,0))</f>
        <v>0</v>
      </c>
    </row>
    <row r="806" customFormat="false" ht="12.75" hidden="false" customHeight="false" outlineLevel="0" collapsed="false">
      <c r="BY806" s="333" t="n">
        <f aca="false">BY805+1</f>
        <v>190</v>
      </c>
      <c r="BZ806" s="329" t="str">
        <f aca="false">R298</f>
        <v>Smike Cloak</v>
      </c>
      <c r="CA806" s="112" t="n">
        <f aca="false">V298</f>
        <v>0</v>
      </c>
      <c r="CB806" s="112" t="n">
        <f aca="false">W298</f>
        <v>500</v>
      </c>
      <c r="CC806" s="112" t="n">
        <f aca="false">X298</f>
        <v>1</v>
      </c>
      <c r="CD806" s="329" t="e">
        <f aca="false">FIND(",",BZ806)</f>
        <v>#VALUE!</v>
      </c>
      <c r="CE806" s="329" t="str">
        <f aca="false">IF(ISERROR(CD806),BZ806,MID(BZ806,CD806+2,20)&amp;" "&amp;LEFT(BZ806,CD806-1))&amp;IF(ISERROR(VALUE(CA806)),"",IF(CA806&gt;1," ("&amp;CA806&amp;")",""))</f>
        <v>Smike Cloak</v>
      </c>
      <c r="CF806" s="329" t="n">
        <f aca="false">IF(CC806=" "," ",IF(ISERROR(VALUE(CA806)),CC806,CA806*CC806))</f>
        <v>0</v>
      </c>
      <c r="CG806" s="112" t="n">
        <f aca="false">CG805+IF(AND(BZ806&lt;&gt;0,CA806&lt;&gt;0),1,0)</f>
        <v>25</v>
      </c>
      <c r="CH806" s="112" t="n">
        <f aca="false">IF($BY806&lt;=CH$615,MATCH($BY806,CG$617:CG$863,0))</f>
        <v>0</v>
      </c>
    </row>
    <row r="807" customFormat="false" ht="12.75" hidden="false" customHeight="false" outlineLevel="0" collapsed="false">
      <c r="BY807" s="333" t="n">
        <f aca="false">BY806+1</f>
        <v>191</v>
      </c>
      <c r="BZ807" s="329" t="str">
        <f aca="false">R299</f>
        <v>Smoke Bombs</v>
      </c>
      <c r="CA807" s="112" t="n">
        <f aca="false">V299</f>
        <v>0</v>
      </c>
      <c r="CB807" s="112" t="n">
        <f aca="false">W299</f>
        <v>60</v>
      </c>
      <c r="CC807" s="112" t="n">
        <f aca="false">X299</f>
        <v>1</v>
      </c>
      <c r="CD807" s="329" t="e">
        <f aca="false">FIND(",",BZ807)</f>
        <v>#VALUE!</v>
      </c>
      <c r="CE807" s="329" t="str">
        <f aca="false">IF(ISERROR(CD807),BZ807,MID(BZ807,CD807+2,20)&amp;" "&amp;LEFT(BZ807,CD807-1))&amp;IF(ISERROR(VALUE(CA807)),"",IF(CA807&gt;1," ("&amp;CA807&amp;")",""))</f>
        <v>Smoke Bombs</v>
      </c>
      <c r="CF807" s="329" t="n">
        <f aca="false">IF(CC807=" "," ",IF(ISERROR(VALUE(CA807)),CC807,CA807*CC807))</f>
        <v>0</v>
      </c>
      <c r="CG807" s="112" t="n">
        <f aca="false">CG806+IF(AND(BZ807&lt;&gt;0,CA807&lt;&gt;0),1,0)</f>
        <v>25</v>
      </c>
      <c r="CH807" s="112" t="n">
        <f aca="false">IF($BY807&lt;=CH$615,MATCH($BY807,CG$617:CG$863,0))</f>
        <v>0</v>
      </c>
    </row>
    <row r="808" customFormat="false" ht="12.75" hidden="false" customHeight="false" outlineLevel="0" collapsed="false">
      <c r="BY808" s="333" t="n">
        <f aca="false">BY807+1</f>
        <v>192</v>
      </c>
      <c r="BZ808" s="329" t="str">
        <f aca="false">R300</f>
        <v>Spider Gloves and Slippers</v>
      </c>
      <c r="CA808" s="112" t="n">
        <f aca="false">V300</f>
        <v>0</v>
      </c>
      <c r="CB808" s="112" t="n">
        <f aca="false">W300</f>
        <v>350</v>
      </c>
      <c r="CC808" s="112" t="n">
        <f aca="false">X300</f>
        <v>4</v>
      </c>
      <c r="CD808" s="329" t="e">
        <f aca="false">FIND(",",BZ808)</f>
        <v>#VALUE!</v>
      </c>
      <c r="CE808" s="329" t="str">
        <f aca="false">IF(ISERROR(CD808),BZ808,MID(BZ808,CD808+2,20)&amp;" "&amp;LEFT(BZ808,CD808-1))&amp;IF(ISERROR(VALUE(CA808)),"",IF(CA808&gt;1," ("&amp;CA808&amp;")",""))</f>
        <v>Spider Gloves and Slippers</v>
      </c>
      <c r="CF808" s="329" t="n">
        <f aca="false">IF(CC808=" "," ",IF(ISERROR(VALUE(CA808)),CC808,CA808*CC808))</f>
        <v>0</v>
      </c>
      <c r="CG808" s="112" t="n">
        <f aca="false">CG807+IF(AND(BZ808&lt;&gt;0,CA808&lt;&gt;0),1,0)</f>
        <v>25</v>
      </c>
      <c r="CH808" s="112" t="n">
        <f aca="false">IF($BY808&lt;=CH$615,MATCH($BY808,CG$617:CG$863,0))</f>
        <v>0</v>
      </c>
    </row>
    <row r="809" customFormat="false" ht="12.75" hidden="false" customHeight="false" outlineLevel="0" collapsed="false">
      <c r="BY809" s="333" t="n">
        <f aca="false">BY808+1</f>
        <v>193</v>
      </c>
      <c r="BZ809" s="329" t="str">
        <f aca="false">R301</f>
        <v>Talisman, Circle Five</v>
      </c>
      <c r="CA809" s="112" t="n">
        <f aca="false">V301</f>
        <v>0</v>
      </c>
      <c r="CB809" s="112" t="n">
        <f aca="false">W301</f>
        <v>750</v>
      </c>
      <c r="CC809" s="112" t="n">
        <f aca="false">X301</f>
        <v>2</v>
      </c>
      <c r="CD809" s="329" t="n">
        <f aca="false">FIND(",",BZ809)</f>
        <v>9</v>
      </c>
      <c r="CE809" s="329" t="str">
        <f aca="false">IF(ISERROR(CD809),BZ809,MID(BZ809,CD809+2,20)&amp;" "&amp;LEFT(BZ809,CD809-1))&amp;IF(ISERROR(VALUE(CA809)),"",IF(CA809&gt;1," ("&amp;CA809&amp;")",""))</f>
        <v>Circle Five Talisman</v>
      </c>
      <c r="CF809" s="329" t="n">
        <f aca="false">IF(CC809=" "," ",IF(ISERROR(VALUE(CA809)),CC809,CA809*CC809))</f>
        <v>0</v>
      </c>
      <c r="CG809" s="112" t="n">
        <f aca="false">CG808+IF(AND(BZ809&lt;&gt;0,CA809&lt;&gt;0),1,0)</f>
        <v>25</v>
      </c>
      <c r="CH809" s="112" t="n">
        <f aca="false">IF($BY809&lt;=CH$615,MATCH($BY809,CG$617:CG$863,0))</f>
        <v>0</v>
      </c>
    </row>
    <row r="810" customFormat="false" ht="12.75" hidden="false" customHeight="false" outlineLevel="0" collapsed="false">
      <c r="BY810" s="333" t="n">
        <f aca="false">BY809+1</f>
        <v>194</v>
      </c>
      <c r="BZ810" s="329" t="str">
        <f aca="false">R302</f>
        <v>Talisman, Circle Four</v>
      </c>
      <c r="CA810" s="112" t="n">
        <f aca="false">V302</f>
        <v>0</v>
      </c>
      <c r="CB810" s="112" t="n">
        <f aca="false">W302</f>
        <v>600</v>
      </c>
      <c r="CC810" s="112" t="n">
        <f aca="false">X302</f>
        <v>2</v>
      </c>
      <c r="CD810" s="329" t="n">
        <f aca="false">FIND(",",BZ810)</f>
        <v>9</v>
      </c>
      <c r="CE810" s="329" t="str">
        <f aca="false">IF(ISERROR(CD810),BZ810,MID(BZ810,CD810+2,20)&amp;" "&amp;LEFT(BZ810,CD810-1))&amp;IF(ISERROR(VALUE(CA810)),"",IF(CA810&gt;1," ("&amp;CA810&amp;")",""))</f>
        <v>Circle Four Talisman</v>
      </c>
      <c r="CF810" s="329" t="n">
        <f aca="false">IF(CC810=" "," ",IF(ISERROR(VALUE(CA810)),CC810,CA810*CC810))</f>
        <v>0</v>
      </c>
      <c r="CG810" s="112" t="n">
        <f aca="false">CG809+IF(AND(BZ810&lt;&gt;0,CA810&lt;&gt;0),1,0)</f>
        <v>25</v>
      </c>
      <c r="CH810" s="112" t="n">
        <f aca="false">IF($BY810&lt;=CH$615,MATCH($BY810,CG$617:CG$863,0))</f>
        <v>0</v>
      </c>
    </row>
    <row r="811" customFormat="false" ht="12.75" hidden="false" customHeight="false" outlineLevel="0" collapsed="false">
      <c r="BY811" s="333" t="n">
        <f aca="false">BY810+1</f>
        <v>195</v>
      </c>
      <c r="BZ811" s="329" t="str">
        <f aca="false">R303</f>
        <v>Talisman, Circle One</v>
      </c>
      <c r="CA811" s="112" t="n">
        <f aca="false">V303</f>
        <v>0</v>
      </c>
      <c r="CB811" s="112" t="n">
        <f aca="false">W303</f>
        <v>150</v>
      </c>
      <c r="CC811" s="112" t="n">
        <f aca="false">X303</f>
        <v>2</v>
      </c>
      <c r="CD811" s="329" t="n">
        <f aca="false">FIND(",",BZ811)</f>
        <v>9</v>
      </c>
      <c r="CE811" s="329" t="str">
        <f aca="false">IF(ISERROR(CD811),BZ811,MID(BZ811,CD811+2,20)&amp;" "&amp;LEFT(BZ811,CD811-1))&amp;IF(ISERROR(VALUE(CA811)),"",IF(CA811&gt;1," ("&amp;CA811&amp;")",""))</f>
        <v>Circle One Talisman</v>
      </c>
      <c r="CF811" s="329" t="n">
        <f aca="false">IF(CC811=" "," ",IF(ISERROR(VALUE(CA811)),CC811,CA811*CC811))</f>
        <v>0</v>
      </c>
      <c r="CG811" s="112" t="n">
        <f aca="false">CG810+IF(AND(BZ811&lt;&gt;0,CA811&lt;&gt;0),1,0)</f>
        <v>25</v>
      </c>
      <c r="CH811" s="112" t="n">
        <f aca="false">IF($BY811&lt;=CH$615,MATCH($BY811,CG$617:CG$863,0))</f>
        <v>0</v>
      </c>
    </row>
    <row r="812" customFormat="false" ht="12.75" hidden="false" customHeight="false" outlineLevel="0" collapsed="false">
      <c r="BY812" s="333" t="n">
        <f aca="false">BY811+1</f>
        <v>196</v>
      </c>
      <c r="BZ812" s="329" t="str">
        <f aca="false">R304</f>
        <v>Talisman, Circle Three</v>
      </c>
      <c r="CA812" s="112" t="n">
        <f aca="false">V304</f>
        <v>0</v>
      </c>
      <c r="CB812" s="112" t="n">
        <f aca="false">W304</f>
        <v>450</v>
      </c>
      <c r="CC812" s="112" t="n">
        <f aca="false">X304</f>
        <v>2</v>
      </c>
      <c r="CD812" s="329" t="n">
        <f aca="false">FIND(",",BZ812)</f>
        <v>9</v>
      </c>
      <c r="CE812" s="329" t="str">
        <f aca="false">IF(ISERROR(CD812),BZ812,MID(BZ812,CD812+2,20)&amp;" "&amp;LEFT(BZ812,CD812-1))&amp;IF(ISERROR(VALUE(CA812)),"",IF(CA812&gt;1," ("&amp;CA812&amp;")",""))</f>
        <v>Circle Three Talisman</v>
      </c>
      <c r="CF812" s="329" t="n">
        <f aca="false">IF(CC812=" "," ",IF(ISERROR(VALUE(CA812)),CC812,CA812*CC812))</f>
        <v>0</v>
      </c>
      <c r="CG812" s="112" t="n">
        <f aca="false">CG811+IF(AND(BZ812&lt;&gt;0,CA812&lt;&gt;0),1,0)</f>
        <v>25</v>
      </c>
      <c r="CH812" s="112" t="n">
        <f aca="false">IF($BY812&lt;=CH$615,MATCH($BY812,CG$617:CG$863,0))</f>
        <v>0</v>
      </c>
    </row>
    <row r="813" customFormat="false" ht="12.75" hidden="false" customHeight="false" outlineLevel="0" collapsed="false">
      <c r="BY813" s="333" t="n">
        <f aca="false">BY812+1</f>
        <v>197</v>
      </c>
      <c r="BZ813" s="329" t="str">
        <f aca="false">R305</f>
        <v>Talisman, Circle Two</v>
      </c>
      <c r="CA813" s="112" t="n">
        <f aca="false">V305</f>
        <v>0</v>
      </c>
      <c r="CB813" s="112" t="n">
        <f aca="false">W305</f>
        <v>300</v>
      </c>
      <c r="CC813" s="112" t="n">
        <f aca="false">X305</f>
        <v>2</v>
      </c>
      <c r="CD813" s="329" t="n">
        <f aca="false">FIND(",",BZ813)</f>
        <v>9</v>
      </c>
      <c r="CE813" s="329" t="str">
        <f aca="false">IF(ISERROR(CD813),BZ813,MID(BZ813,CD813+2,20)&amp;" "&amp;LEFT(BZ813,CD813-1))&amp;IF(ISERROR(VALUE(CA813)),"",IF(CA813&gt;1," ("&amp;CA813&amp;")",""))</f>
        <v>Circle Two Talisman</v>
      </c>
      <c r="CF813" s="329" t="n">
        <f aca="false">IF(CC813=" "," ",IF(ISERROR(VALUE(CA813)),CC813,CA813*CC813))</f>
        <v>0</v>
      </c>
      <c r="CG813" s="112" t="n">
        <f aca="false">CG812+IF(AND(BZ813&lt;&gt;0,CA813&lt;&gt;0),1,0)</f>
        <v>25</v>
      </c>
      <c r="CH813" s="112" t="n">
        <f aca="false">IF($BY813&lt;=CH$615,MATCH($BY813,CG$617:CG$863,0))</f>
        <v>0</v>
      </c>
    </row>
    <row r="814" customFormat="false" ht="12.75" hidden="false" customHeight="false" outlineLevel="0" collapsed="false">
      <c r="BY814" s="333" t="n">
        <f aca="false">BY813+1</f>
        <v>198</v>
      </c>
      <c r="BZ814" s="329" t="str">
        <f aca="false">R306</f>
        <v>Theft-Proof Pouch</v>
      </c>
      <c r="CA814" s="112" t="n">
        <f aca="false">V306</f>
        <v>0</v>
      </c>
      <c r="CB814" s="112" t="n">
        <f aca="false">W306</f>
        <v>150</v>
      </c>
      <c r="CC814" s="112" t="n">
        <f aca="false">X306</f>
        <v>1</v>
      </c>
      <c r="CD814" s="329" t="e">
        <f aca="false">FIND(",",BZ814)</f>
        <v>#VALUE!</v>
      </c>
      <c r="CE814" s="329" t="str">
        <f aca="false">IF(ISERROR(CD814),BZ814,MID(BZ814,CD814+2,20)&amp;" "&amp;LEFT(BZ814,CD814-1))&amp;IF(ISERROR(VALUE(CA814)),"",IF(CA814&gt;1," ("&amp;CA814&amp;")",""))</f>
        <v>Theft-Proof Pouch</v>
      </c>
      <c r="CF814" s="329" t="n">
        <f aca="false">IF(CC814=" "," ",IF(ISERROR(VALUE(CA814)),CC814,CA814*CC814))</f>
        <v>0</v>
      </c>
      <c r="CG814" s="112" t="n">
        <f aca="false">CG813+IF(AND(BZ814&lt;&gt;0,CA814&lt;&gt;0),1,0)</f>
        <v>25</v>
      </c>
      <c r="CH814" s="112" t="n">
        <f aca="false">IF($BY814&lt;=CH$615,MATCH($BY814,CG$617:CG$863,0))</f>
        <v>0</v>
      </c>
    </row>
    <row r="815" customFormat="false" ht="12.75" hidden="false" customHeight="false" outlineLevel="0" collapsed="false">
      <c r="BY815" s="333" t="n">
        <f aca="false">BY814+1</f>
        <v>199</v>
      </c>
      <c r="BZ815" s="329" t="str">
        <f aca="false">R307</f>
        <v>Traveler's Mug</v>
      </c>
      <c r="CA815" s="112" t="n">
        <f aca="false">V307</f>
        <v>0</v>
      </c>
      <c r="CB815" s="112" t="n">
        <f aca="false">W307</f>
        <v>350</v>
      </c>
      <c r="CC815" s="112" t="n">
        <f aca="false">X307</f>
        <v>1</v>
      </c>
      <c r="CD815" s="329" t="e">
        <f aca="false">FIND(",",BZ815)</f>
        <v>#VALUE!</v>
      </c>
      <c r="CE815" s="329" t="str">
        <f aca="false">IF(ISERROR(CD815),BZ815,MID(BZ815,CD815+2,20)&amp;" "&amp;LEFT(BZ815,CD815-1))&amp;IF(ISERROR(VALUE(CA815)),"",IF(CA815&gt;1," ("&amp;CA815&amp;")",""))</f>
        <v>Traveler's Mug</v>
      </c>
      <c r="CF815" s="329" t="n">
        <f aca="false">IF(CC815=" "," ",IF(ISERROR(VALUE(CA815)),CC815,CA815*CC815))</f>
        <v>0</v>
      </c>
      <c r="CG815" s="112" t="n">
        <f aca="false">CG814+IF(AND(BZ815&lt;&gt;0,CA815&lt;&gt;0),1,0)</f>
        <v>25</v>
      </c>
      <c r="CH815" s="112" t="n">
        <f aca="false">IF($BY815&lt;=CH$615,MATCH($BY815,CG$617:CG$863,0))</f>
        <v>0</v>
      </c>
    </row>
    <row r="816" customFormat="false" ht="12.75" hidden="false" customHeight="false" outlineLevel="0" collapsed="false">
      <c r="BY816" s="333" t="n">
        <f aca="false">BY815+1</f>
        <v>200</v>
      </c>
      <c r="BZ816" s="329" t="str">
        <f aca="false">R308</f>
        <v>Upandal's Blessing</v>
      </c>
      <c r="CA816" s="112" t="n">
        <f aca="false">V308</f>
        <v>0</v>
      </c>
      <c r="CB816" s="112" t="n">
        <f aca="false">W308</f>
        <v>275</v>
      </c>
      <c r="CC816" s="112" t="n">
        <f aca="false">X308</f>
        <v>3</v>
      </c>
      <c r="CD816" s="329" t="e">
        <f aca="false">FIND(",",BZ816)</f>
        <v>#VALUE!</v>
      </c>
      <c r="CE816" s="329" t="str">
        <f aca="false">IF(ISERROR(CD816),BZ816,MID(BZ816,CD816+2,20)&amp;" "&amp;LEFT(BZ816,CD816-1))&amp;IF(ISERROR(VALUE(CA816)),"",IF(CA816&gt;1," ("&amp;CA816&amp;")",""))</f>
        <v>Upandal's Blessing</v>
      </c>
      <c r="CF816" s="329" t="n">
        <f aca="false">IF(CC816=" "," ",IF(ISERROR(VALUE(CA816)),CC816,CA816*CC816))</f>
        <v>0</v>
      </c>
      <c r="CG816" s="112" t="n">
        <f aca="false">CG815+IF(AND(BZ816&lt;&gt;0,CA816&lt;&gt;0),1,0)</f>
        <v>25</v>
      </c>
      <c r="CH816" s="112" t="n">
        <f aca="false">IF($BY816&lt;=CH$615,MATCH($BY816,CG$617:CG$863,0))</f>
        <v>0</v>
      </c>
    </row>
    <row r="817" customFormat="false" ht="12.75" hidden="false" customHeight="false" outlineLevel="0" collapsed="false">
      <c r="BY817" s="333" t="n">
        <f aca="false">BY816+1</f>
        <v>201</v>
      </c>
      <c r="BZ817" s="329" t="str">
        <f aca="false">R309</f>
        <v>Volus Brooch</v>
      </c>
      <c r="CA817" s="112" t="n">
        <f aca="false">V309</f>
        <v>0</v>
      </c>
      <c r="CB817" s="112" t="n">
        <f aca="false">W309</f>
        <v>500</v>
      </c>
      <c r="CC817" s="112" t="n">
        <f aca="false">X309</f>
        <v>2</v>
      </c>
      <c r="CD817" s="329" t="e">
        <f aca="false">FIND(",",BZ817)</f>
        <v>#VALUE!</v>
      </c>
      <c r="CE817" s="329" t="str">
        <f aca="false">IF(ISERROR(CD817),BZ817,MID(BZ817,CD817+2,20)&amp;" "&amp;LEFT(BZ817,CD817-1))&amp;IF(ISERROR(VALUE(CA817)),"",IF(CA817&gt;1," ("&amp;CA817&amp;")",""))</f>
        <v>Volus Brooch</v>
      </c>
      <c r="CF817" s="329" t="n">
        <f aca="false">IF(CC817=" "," ",IF(ISERROR(VALUE(CA817)),CC817,CA817*CC817))</f>
        <v>0</v>
      </c>
      <c r="CG817" s="112" t="n">
        <f aca="false">CG816+IF(AND(BZ817&lt;&gt;0,CA817&lt;&gt;0),1,0)</f>
        <v>25</v>
      </c>
      <c r="CH817" s="112" t="n">
        <f aca="false">IF($BY817&lt;=CH$615,MATCH($BY817,CG$617:CG$863,0))</f>
        <v>0</v>
      </c>
    </row>
    <row r="818" customFormat="false" ht="12.75" hidden="false" customHeight="false" outlineLevel="0" collapsed="false">
      <c r="BY818" s="333" t="n">
        <f aca="false">BY817+1</f>
        <v>202</v>
      </c>
      <c r="BZ818" s="329" t="str">
        <f aca="false">R310</f>
        <v>Wind Instrument</v>
      </c>
      <c r="CA818" s="112" t="n">
        <f aca="false">V310</f>
        <v>0</v>
      </c>
      <c r="CB818" s="112" t="n">
        <f aca="false">W310</f>
        <v>250</v>
      </c>
      <c r="CC818" s="112" t="n">
        <f aca="false">X310</f>
        <v>0</v>
      </c>
      <c r="CD818" s="329" t="e">
        <f aca="false">FIND(",",BZ818)</f>
        <v>#VALUE!</v>
      </c>
      <c r="CE818" s="329" t="str">
        <f aca="false">IF(ISERROR(CD818),BZ818,MID(BZ818,CD818+2,20)&amp;" "&amp;LEFT(BZ818,CD818-1))&amp;IF(ISERROR(VALUE(CA818)),"",IF(CA818&gt;1," ("&amp;CA818&amp;")",""))</f>
        <v>Wind Instrument</v>
      </c>
      <c r="CF818" s="329" t="n">
        <f aca="false">IF(CC818=" "," ",IF(ISERROR(VALUE(CA818)),CC818,CA818*CC818))</f>
        <v>0</v>
      </c>
      <c r="CG818" s="112" t="n">
        <f aca="false">CG817+IF(AND(BZ818&lt;&gt;0,CA818&lt;&gt;0),1,0)</f>
        <v>25</v>
      </c>
      <c r="CH818" s="112" t="n">
        <f aca="false">IF($BY818&lt;=CH$615,MATCH($BY818,CG$617:CG$863,0))</f>
        <v>0</v>
      </c>
    </row>
    <row r="819" customFormat="false" ht="12.75" hidden="false" customHeight="false" outlineLevel="0" collapsed="false">
      <c r="BY819" s="333" t="n">
        <f aca="false">BY818+1</f>
        <v>203</v>
      </c>
      <c r="BZ819" s="329" t="n">
        <f aca="false">R311</f>
        <v>0</v>
      </c>
      <c r="CA819" s="112" t="n">
        <f aca="false">V311</f>
        <v>0</v>
      </c>
      <c r="CB819" s="112" t="n">
        <f aca="false">W311</f>
        <v>0</v>
      </c>
      <c r="CC819" s="112" t="n">
        <f aca="false">X311</f>
        <v>0</v>
      </c>
      <c r="CD819" s="329" t="e">
        <f aca="false">FIND(",",BZ819)</f>
        <v>#VALUE!</v>
      </c>
      <c r="CE819" s="329" t="str">
        <f aca="false">IF(ISERROR(CD819),BZ819,MID(BZ819,CD819+2,20)&amp;" "&amp;LEFT(BZ819,CD819-1))&amp;IF(ISERROR(VALUE(CA819)),"",IF(CA819&gt;1," ("&amp;CA819&amp;")",""))</f>
        <v>0</v>
      </c>
      <c r="CF819" s="329" t="n">
        <f aca="false">IF(CC819=" "," ",IF(ISERROR(VALUE(CA819)),CC819,CA819*CC819))</f>
        <v>0</v>
      </c>
      <c r="CG819" s="112" t="n">
        <f aca="false">CG818+IF(AND(BZ819&lt;&gt;0,CA819&lt;&gt;0),1,0)</f>
        <v>25</v>
      </c>
      <c r="CH819" s="112" t="n">
        <f aca="false">IF($BY819&lt;=CH$615,MATCH($BY819,CG$617:CG$863,0))</f>
        <v>0</v>
      </c>
    </row>
    <row r="820" customFormat="false" ht="12.75" hidden="false" customHeight="false" outlineLevel="0" collapsed="false">
      <c r="BY820" s="333" t="n">
        <f aca="false">BY819+1</f>
        <v>204</v>
      </c>
      <c r="BZ820" s="329" t="n">
        <f aca="false">R312</f>
        <v>0</v>
      </c>
      <c r="CA820" s="112" t="n">
        <f aca="false">V312</f>
        <v>0</v>
      </c>
      <c r="CB820" s="112" t="n">
        <f aca="false">W312</f>
        <v>0</v>
      </c>
      <c r="CC820" s="112" t="n">
        <f aca="false">X312</f>
        <v>0</v>
      </c>
      <c r="CD820" s="329" t="e">
        <f aca="false">FIND(",",BZ820)</f>
        <v>#VALUE!</v>
      </c>
      <c r="CE820" s="329" t="str">
        <f aca="false">IF(ISERROR(CD820),BZ820,MID(BZ820,CD820+2,20)&amp;" "&amp;LEFT(BZ820,CD820-1))&amp;IF(ISERROR(VALUE(CA820)),"",IF(CA820&gt;1," ("&amp;CA820&amp;")",""))</f>
        <v>0</v>
      </c>
      <c r="CF820" s="329" t="n">
        <f aca="false">IF(CC820=" "," ",IF(ISERROR(VALUE(CA820)),CC820,CA820*CC820))</f>
        <v>0</v>
      </c>
      <c r="CG820" s="112" t="n">
        <f aca="false">CG819+IF(AND(BZ820&lt;&gt;0,CA820&lt;&gt;0),1,0)</f>
        <v>25</v>
      </c>
      <c r="CH820" s="112" t="n">
        <f aca="false">IF($BY820&lt;=CH$615,MATCH($BY820,CG$617:CG$863,0))</f>
        <v>0</v>
      </c>
    </row>
    <row r="821" customFormat="false" ht="12.75" hidden="false" customHeight="false" outlineLevel="0" collapsed="false">
      <c r="BY821" s="333" t="n">
        <f aca="false">BY820+1</f>
        <v>205</v>
      </c>
      <c r="BZ821" s="329" t="str">
        <f aca="false">J289</f>
        <v>Amulet</v>
      </c>
      <c r="CA821" s="112" t="n">
        <f aca="false">V316</f>
        <v>0</v>
      </c>
      <c r="CB821" s="112" t="n">
        <f aca="false">W316</f>
        <v>0</v>
      </c>
      <c r="CC821" s="112" t="n">
        <f aca="false">X316</f>
        <v>0</v>
      </c>
      <c r="CD821" s="329" t="e">
        <f aca="false">FIND(",",BZ821)</f>
        <v>#VALUE!</v>
      </c>
      <c r="CE821" s="329" t="str">
        <f aca="false">IF(ISERROR(CD821),BZ821,MID(BZ821,CD821+2,20)&amp;" "&amp;LEFT(BZ821,CD821-1))&amp;IF(ISERROR(VALUE(CA821)),"",IF(CA821&gt;1," ("&amp;CA821&amp;")",""))</f>
        <v>Amulet</v>
      </c>
      <c r="CF821" s="329" t="n">
        <f aca="false">IF(CC821=" "," ",IF(ISERROR(VALUE(CA821)),CC821,CA821*CC821))</f>
        <v>0</v>
      </c>
      <c r="CG821" s="112" t="n">
        <f aca="false">CG820+IF(AND(BZ821&lt;&gt;0,CA821&lt;&gt;0),1,0)</f>
        <v>25</v>
      </c>
      <c r="CH821" s="112" t="n">
        <f aca="false">IF($BY821&lt;=CH$615,MATCH($BY821,CG$617:CG$863,0))</f>
        <v>0</v>
      </c>
    </row>
    <row r="822" customFormat="false" ht="12.75" hidden="false" customHeight="false" outlineLevel="0" collapsed="false">
      <c r="BY822" s="333" t="n">
        <f aca="false">BY821+1</f>
        <v>206</v>
      </c>
      <c r="BZ822" s="329" t="str">
        <f aca="false">J290</f>
        <v>Amulet</v>
      </c>
      <c r="CA822" s="112" t="n">
        <f aca="false">N290</f>
        <v>0</v>
      </c>
      <c r="CB822" s="112" t="n">
        <f aca="false">O290</f>
        <v>550</v>
      </c>
      <c r="CC822" s="112" t="n">
        <f aca="false">P290</f>
        <v>1</v>
      </c>
      <c r="CD822" s="329" t="e">
        <f aca="false">FIND(",",BZ822)</f>
        <v>#VALUE!</v>
      </c>
      <c r="CE822" s="329" t="str">
        <f aca="false">IF(ISERROR(CD822),BZ822,MID(BZ822,CD822+2,20)&amp;" "&amp;LEFT(BZ822,CD822-1))&amp;IF(ISERROR(VALUE(CA822)),"",IF(CA822&gt;1," ("&amp;CA822&amp;")",""))</f>
        <v>Amulet</v>
      </c>
      <c r="CF822" s="329" t="n">
        <f aca="false">IF(CC822=" "," ",IF(ISERROR(VALUE(CA822)),CC822,CA822*CC822))</f>
        <v>0</v>
      </c>
      <c r="CG822" s="112" t="n">
        <f aca="false">CG821+IF(AND(BZ822&lt;&gt;0,CA822&lt;&gt;0),1,0)</f>
        <v>25</v>
      </c>
      <c r="CH822" s="112" t="n">
        <f aca="false">IF($BY822&lt;=CH$615,MATCH($BY822,CG$617:CG$863,0))</f>
        <v>0</v>
      </c>
    </row>
    <row r="823" customFormat="false" ht="12.75" hidden="false" customHeight="false" outlineLevel="0" collapsed="false">
      <c r="BY823" s="333" t="n">
        <f aca="false">BY822+1</f>
        <v>207</v>
      </c>
      <c r="BZ823" s="329" t="str">
        <f aca="false">J291</f>
        <v>Boots</v>
      </c>
      <c r="CA823" s="112" t="n">
        <f aca="false">N291</f>
        <v>0</v>
      </c>
      <c r="CB823" s="112" t="n">
        <f aca="false">O291</f>
        <v>1800</v>
      </c>
      <c r="CC823" s="112" t="n">
        <f aca="false">P291</f>
        <v>2</v>
      </c>
      <c r="CD823" s="329" t="e">
        <f aca="false">FIND(",",BZ823)</f>
        <v>#VALUE!</v>
      </c>
      <c r="CE823" s="329" t="str">
        <f aca="false">IF(ISERROR(CD823),BZ823,MID(BZ823,CD823+2,20)&amp;" "&amp;LEFT(BZ823,CD823-1))&amp;IF(ISERROR(VALUE(CA823)),"",IF(CA823&gt;1," ("&amp;CA823&amp;")",""))</f>
        <v>Boots</v>
      </c>
      <c r="CF823" s="329" t="n">
        <f aca="false">IF(CC823=" "," ",IF(ISERROR(VALUE(CA823)),CC823,CA823*CC823))</f>
        <v>0</v>
      </c>
      <c r="CG823" s="112" t="n">
        <f aca="false">CG822+IF(AND(BZ823&lt;&gt;0,CA823&lt;&gt;0),1,0)</f>
        <v>25</v>
      </c>
      <c r="CH823" s="112" t="n">
        <f aca="false">IF($BY823&lt;=CH$615,MATCH($BY823,CG$617:CG$863,0))</f>
        <v>0</v>
      </c>
    </row>
    <row r="824" customFormat="false" ht="12.75" hidden="false" customHeight="false" outlineLevel="0" collapsed="false">
      <c r="BY824" s="333" t="n">
        <f aca="false">BY823+1</f>
        <v>208</v>
      </c>
      <c r="BZ824" s="329" t="str">
        <f aca="false">J292</f>
        <v>Bracers</v>
      </c>
      <c r="CA824" s="112" t="n">
        <f aca="false">N292</f>
        <v>0</v>
      </c>
      <c r="CB824" s="112" t="n">
        <f aca="false">O292</f>
        <v>1100</v>
      </c>
      <c r="CC824" s="112" t="n">
        <f aca="false">P292</f>
        <v>2</v>
      </c>
      <c r="CD824" s="329" t="e">
        <f aca="false">FIND(",",BZ824)</f>
        <v>#VALUE!</v>
      </c>
      <c r="CE824" s="329" t="str">
        <f aca="false">IF(ISERROR(CD824),BZ824,MID(BZ824,CD824+2,20)&amp;" "&amp;LEFT(BZ824,CD824-1))&amp;IF(ISERROR(VALUE(CA824)),"",IF(CA824&gt;1," ("&amp;CA824&amp;")",""))</f>
        <v>Bracers</v>
      </c>
      <c r="CF824" s="329" t="n">
        <f aca="false">IF(CC824=" "," ",IF(ISERROR(VALUE(CA824)),CC824,CA824*CC824))</f>
        <v>0</v>
      </c>
      <c r="CG824" s="112" t="n">
        <f aca="false">CG823+IF(AND(BZ824&lt;&gt;0,CA824&lt;&gt;0),1,0)</f>
        <v>25</v>
      </c>
      <c r="CH824" s="112" t="n">
        <f aca="false">IF($BY824&lt;=CH$615,MATCH($BY824,CG$617:CG$863,0))</f>
        <v>0</v>
      </c>
    </row>
    <row r="825" customFormat="false" ht="12.75" hidden="false" customHeight="false" outlineLevel="0" collapsed="false">
      <c r="BY825" s="333" t="n">
        <f aca="false">BY824+1</f>
        <v>209</v>
      </c>
      <c r="BZ825" s="329" t="str">
        <f aca="false">J293</f>
        <v>Brooch</v>
      </c>
      <c r="CA825" s="112" t="n">
        <f aca="false">N293</f>
        <v>0</v>
      </c>
      <c r="CB825" s="112" t="n">
        <f aca="false">O293</f>
        <v>450</v>
      </c>
      <c r="CC825" s="112" t="n">
        <f aca="false">P293</f>
        <v>1</v>
      </c>
      <c r="CD825" s="329" t="e">
        <f aca="false">FIND(",",BZ825)</f>
        <v>#VALUE!</v>
      </c>
      <c r="CE825" s="329" t="str">
        <f aca="false">IF(ISERROR(CD825),BZ825,MID(BZ825,CD825+2,20)&amp;" "&amp;LEFT(BZ825,CD825-1))&amp;IF(ISERROR(VALUE(CA825)),"",IF(CA825&gt;1," ("&amp;CA825&amp;")",""))</f>
        <v>Brooch</v>
      </c>
      <c r="CF825" s="329" t="n">
        <f aca="false">IF(CC825=" "," ",IF(ISERROR(VALUE(CA825)),CC825,CA825*CC825))</f>
        <v>0</v>
      </c>
      <c r="CG825" s="112" t="n">
        <f aca="false">CG824+IF(AND(BZ825&lt;&gt;0,CA825&lt;&gt;0),1,0)</f>
        <v>25</v>
      </c>
      <c r="CH825" s="112" t="n">
        <f aca="false">IF($BY825&lt;=CH$615,MATCH($BY825,CG$617:CG$863,0))</f>
        <v>0</v>
      </c>
    </row>
    <row r="826" customFormat="false" ht="12.75" hidden="false" customHeight="false" outlineLevel="0" collapsed="false">
      <c r="BY826" s="333" t="n">
        <f aca="false">BY825+1</f>
        <v>210</v>
      </c>
      <c r="BZ826" s="329" t="str">
        <f aca="false">J294</f>
        <v>Cloak</v>
      </c>
      <c r="CA826" s="112" t="n">
        <f aca="false">N294</f>
        <v>0</v>
      </c>
      <c r="CB826" s="112" t="n">
        <f aca="false">O294</f>
        <v>1750</v>
      </c>
      <c r="CC826" s="112" t="n">
        <f aca="false">P294</f>
        <v>2</v>
      </c>
      <c r="CD826" s="329" t="e">
        <f aca="false">FIND(",",BZ826)</f>
        <v>#VALUE!</v>
      </c>
      <c r="CE826" s="329" t="str">
        <f aca="false">IF(ISERROR(CD826),BZ826,MID(BZ826,CD826+2,20)&amp;" "&amp;LEFT(BZ826,CD826-1))&amp;IF(ISERROR(VALUE(CA826)),"",IF(CA826&gt;1," ("&amp;CA826&amp;")",""))</f>
        <v>Cloak</v>
      </c>
      <c r="CF826" s="329" t="n">
        <f aca="false">IF(CC826=" "," ",IF(ISERROR(VALUE(CA826)),CC826,CA826*CC826))</f>
        <v>0</v>
      </c>
      <c r="CG826" s="112" t="n">
        <f aca="false">CG825+IF(AND(BZ826&lt;&gt;0,CA826&lt;&gt;0),1,0)</f>
        <v>25</v>
      </c>
      <c r="CH826" s="112" t="n">
        <f aca="false">IF($BY826&lt;=CH$615,MATCH($BY826,CG$617:CG$863,0))</f>
        <v>0</v>
      </c>
    </row>
    <row r="827" customFormat="false" ht="12.75" hidden="false" customHeight="false" outlineLevel="0" collapsed="false">
      <c r="BY827" s="333" t="n">
        <f aca="false">BY826+1</f>
        <v>211</v>
      </c>
      <c r="BZ827" s="329" t="str">
        <f aca="false">J295</f>
        <v>Crystal  Box</v>
      </c>
      <c r="CA827" s="112" t="n">
        <f aca="false">N295</f>
        <v>0</v>
      </c>
      <c r="CB827" s="112" t="n">
        <f aca="false">O295</f>
        <v>3000</v>
      </c>
      <c r="CC827" s="112" t="n">
        <f aca="false">P295</f>
        <v>3</v>
      </c>
      <c r="CD827" s="329" t="e">
        <f aca="false">FIND(",",BZ827)</f>
        <v>#VALUE!</v>
      </c>
      <c r="CE827" s="329" t="str">
        <f aca="false">IF(ISERROR(CD827),BZ827,MID(BZ827,CD827+2,20)&amp;" "&amp;LEFT(BZ827,CD827-1))&amp;IF(ISERROR(VALUE(CA827)),"",IF(CA827&gt;1," ("&amp;CA827&amp;")",""))</f>
        <v>Crystal  Box</v>
      </c>
      <c r="CF827" s="329" t="n">
        <f aca="false">IF(CC827=" "," ",IF(ISERROR(VALUE(CA827)),CC827,CA827*CC827))</f>
        <v>0</v>
      </c>
      <c r="CG827" s="112" t="n">
        <f aca="false">CG826+IF(AND(BZ827&lt;&gt;0,CA827&lt;&gt;0),1,0)</f>
        <v>25</v>
      </c>
      <c r="CH827" s="112" t="n">
        <f aca="false">IF($BY827&lt;=CH$615,MATCH($BY827,CG$617:CG$863,0))</f>
        <v>0</v>
      </c>
    </row>
    <row r="828" customFormat="false" ht="12.75" hidden="false" customHeight="false" outlineLevel="0" collapsed="false">
      <c r="BY828" s="333" t="n">
        <f aca="false">BY827+1</f>
        <v>212</v>
      </c>
      <c r="BZ828" s="329" t="str">
        <f aca="false">J296</f>
        <v>Forest Robes</v>
      </c>
      <c r="CA828" s="112" t="n">
        <f aca="false">N296</f>
        <v>0</v>
      </c>
      <c r="CB828" s="112" t="n">
        <f aca="false">O296</f>
        <v>3000</v>
      </c>
      <c r="CC828" s="112" t="n">
        <f aca="false">P296</f>
        <v>1</v>
      </c>
      <c r="CD828" s="329" t="e">
        <f aca="false">FIND(",",BZ828)</f>
        <v>#VALUE!</v>
      </c>
      <c r="CE828" s="329" t="str">
        <f aca="false">IF(ISERROR(CD828),BZ828,MID(BZ828,CD828+2,20)&amp;" "&amp;LEFT(BZ828,CD828-1))&amp;IF(ISERROR(VALUE(CA828)),"",IF(CA828&gt;1," ("&amp;CA828&amp;")",""))</f>
        <v>Forest Robes</v>
      </c>
      <c r="CF828" s="329" t="n">
        <f aca="false">IF(CC828=" "," ",IF(ISERROR(VALUE(CA828)),CC828,CA828*CC828))</f>
        <v>0</v>
      </c>
      <c r="CG828" s="112" t="n">
        <f aca="false">CG827+IF(AND(BZ828&lt;&gt;0,CA828&lt;&gt;0),1,0)</f>
        <v>25</v>
      </c>
      <c r="CH828" s="112" t="n">
        <f aca="false">IF($BY828&lt;=CH$615,MATCH($BY828,CG$617:CG$863,0))</f>
        <v>0</v>
      </c>
    </row>
    <row r="829" customFormat="false" ht="12.75" hidden="false" customHeight="false" outlineLevel="0" collapsed="false">
      <c r="BY829" s="333" t="n">
        <f aca="false">BY828+1</f>
        <v>213</v>
      </c>
      <c r="BZ829" s="329" t="str">
        <f aca="false">J297</f>
        <v>Gauntlets</v>
      </c>
      <c r="CA829" s="112" t="n">
        <f aca="false">N297</f>
        <v>0</v>
      </c>
      <c r="CB829" s="112" t="n">
        <f aca="false">O297</f>
        <v>2000</v>
      </c>
      <c r="CC829" s="112" t="n">
        <f aca="false">P297</f>
        <v>4</v>
      </c>
      <c r="CD829" s="329" t="e">
        <f aca="false">FIND(",",BZ829)</f>
        <v>#VALUE!</v>
      </c>
      <c r="CE829" s="329" t="str">
        <f aca="false">IF(ISERROR(CD829),BZ829,MID(BZ829,CD829+2,20)&amp;" "&amp;LEFT(BZ829,CD829-1))&amp;IF(ISERROR(VALUE(CA829)),"",IF(CA829&gt;1," ("&amp;CA829&amp;")",""))</f>
        <v>Gauntlets</v>
      </c>
      <c r="CF829" s="329" t="n">
        <f aca="false">IF(CC829=" "," ",IF(ISERROR(VALUE(CA829)),CC829,CA829*CC829))</f>
        <v>0</v>
      </c>
      <c r="CG829" s="112" t="n">
        <f aca="false">CG828+IF(AND(BZ829&lt;&gt;0,CA829&lt;&gt;0),1,0)</f>
        <v>25</v>
      </c>
      <c r="CH829" s="112" t="n">
        <f aca="false">IF($BY829&lt;=CH$615,MATCH($BY829,CG$617:CG$863,0))</f>
        <v>0</v>
      </c>
    </row>
    <row r="830" customFormat="false" ht="12.75" hidden="false" customHeight="false" outlineLevel="0" collapsed="false">
      <c r="BY830" s="333" t="n">
        <f aca="false">BY829+1</f>
        <v>214</v>
      </c>
      <c r="BZ830" s="329" t="str">
        <f aca="false">J298</f>
        <v>Lightning-Bolt Earrings</v>
      </c>
      <c r="CA830" s="112" t="n">
        <f aca="false">N298</f>
        <v>0</v>
      </c>
      <c r="CB830" s="112" t="n">
        <f aca="false">O298</f>
        <v>3000</v>
      </c>
      <c r="CC830" s="112" t="n">
        <f aca="false">P298</f>
        <v>1</v>
      </c>
      <c r="CD830" s="329" t="e">
        <f aca="false">FIND(",",BZ830)</f>
        <v>#VALUE!</v>
      </c>
      <c r="CE830" s="329" t="str">
        <f aca="false">IF(ISERROR(CD830),BZ830,MID(BZ830,CD830+2,20)&amp;" "&amp;LEFT(BZ830,CD830-1))&amp;IF(ISERROR(VALUE(CA830)),"",IF(CA830&gt;1," ("&amp;CA830&amp;")",""))</f>
        <v>Lightning-Bolt Earrings</v>
      </c>
      <c r="CF830" s="329" t="n">
        <f aca="false">IF(CC830=" "," ",IF(ISERROR(VALUE(CA830)),CC830,CA830*CC830))</f>
        <v>0</v>
      </c>
      <c r="CG830" s="112" t="n">
        <f aca="false">CG829+IF(AND(BZ830&lt;&gt;0,CA830&lt;&gt;0),1,0)</f>
        <v>25</v>
      </c>
      <c r="CH830" s="112" t="n">
        <f aca="false">IF($BY830&lt;=CH$615,MATCH($BY830,CG$617:CG$863,0))</f>
        <v>0</v>
      </c>
    </row>
    <row r="831" customFormat="false" ht="12.75" hidden="false" customHeight="false" outlineLevel="0" collapsed="false">
      <c r="BY831" s="333" t="n">
        <f aca="false">BY830+1</f>
        <v>215</v>
      </c>
      <c r="BZ831" s="329" t="str">
        <f aca="false">J299</f>
        <v>Map of Location</v>
      </c>
      <c r="CA831" s="112" t="n">
        <f aca="false">N299</f>
        <v>0</v>
      </c>
      <c r="CB831" s="112" t="n">
        <f aca="false">O299</f>
        <v>4000</v>
      </c>
      <c r="CC831" s="112" t="n">
        <f aca="false">P299</f>
        <v>1</v>
      </c>
      <c r="CD831" s="329" t="e">
        <f aca="false">FIND(",",BZ831)</f>
        <v>#VALUE!</v>
      </c>
      <c r="CE831" s="329" t="str">
        <f aca="false">IF(ISERROR(CD831),BZ831,MID(BZ831,CD831+2,20)&amp;" "&amp;LEFT(BZ831,CD831-1))&amp;IF(ISERROR(VALUE(CA831)),"",IF(CA831&gt;1," ("&amp;CA831&amp;")",""))</f>
        <v>Map of Location</v>
      </c>
      <c r="CF831" s="329" t="n">
        <f aca="false">IF(CC831=" "," ",IF(ISERROR(VALUE(CA831)),CC831,CA831*CC831))</f>
        <v>0</v>
      </c>
      <c r="CG831" s="112" t="n">
        <f aca="false">CG830+IF(AND(BZ831&lt;&gt;0,CA831&lt;&gt;0),1,0)</f>
        <v>25</v>
      </c>
      <c r="CH831" s="112" t="n">
        <f aca="false">IF($BY831&lt;=CH$615,MATCH($BY831,CG$617:CG$863,0))</f>
        <v>0</v>
      </c>
    </row>
    <row r="832" customFormat="false" ht="12.75" hidden="false" customHeight="false" outlineLevel="0" collapsed="false">
      <c r="BY832" s="333" t="n">
        <f aca="false">BY831+1</f>
        <v>216</v>
      </c>
      <c r="BZ832" s="329" t="str">
        <f aca="false">J300</f>
        <v>Naga-Scale Brooch</v>
      </c>
      <c r="CA832" s="112" t="n">
        <f aca="false">N300</f>
        <v>0</v>
      </c>
      <c r="CB832" s="112" t="n">
        <f aca="false">O300</f>
        <v>2000</v>
      </c>
      <c r="CC832" s="112" t="n">
        <f aca="false">P300</f>
        <v>1</v>
      </c>
      <c r="CD832" s="329" t="e">
        <f aca="false">FIND(",",BZ832)</f>
        <v>#VALUE!</v>
      </c>
      <c r="CE832" s="329" t="str">
        <f aca="false">IF(ISERROR(CD832),BZ832,MID(BZ832,CD832+2,20)&amp;" "&amp;LEFT(BZ832,CD832-1))&amp;IF(ISERROR(VALUE(CA832)),"",IF(CA832&gt;1," ("&amp;CA832&amp;")",""))</f>
        <v>Naga-Scale Brooch</v>
      </c>
      <c r="CF832" s="329" t="n">
        <f aca="false">IF(CC832=" "," ",IF(ISERROR(VALUE(CA832)),CC832,CA832*CC832))</f>
        <v>0</v>
      </c>
      <c r="CG832" s="112" t="n">
        <f aca="false">CG831+IF(AND(BZ832&lt;&gt;0,CA832&lt;&gt;0),1,0)</f>
        <v>25</v>
      </c>
      <c r="CH832" s="112" t="n">
        <f aca="false">IF($BY832&lt;=CH$615,MATCH($BY832,CG$617:CG$863,0))</f>
        <v>0</v>
      </c>
    </row>
    <row r="833" customFormat="false" ht="12.75" hidden="false" customHeight="false" outlineLevel="0" collapsed="false">
      <c r="BY833" s="333" t="n">
        <f aca="false">BY832+1</f>
        <v>217</v>
      </c>
      <c r="BZ833" s="329" t="str">
        <f aca="false">J301</f>
        <v>Ring</v>
      </c>
      <c r="CA833" s="112" t="n">
        <f aca="false">N301</f>
        <v>0</v>
      </c>
      <c r="CB833" s="112" t="n">
        <f aca="false">O301</f>
        <v>1500</v>
      </c>
      <c r="CC833" s="112" t="n">
        <f aca="false">P301</f>
        <v>1</v>
      </c>
      <c r="CD833" s="329" t="e">
        <f aca="false">FIND(",",BZ833)</f>
        <v>#VALUE!</v>
      </c>
      <c r="CE833" s="329" t="str">
        <f aca="false">IF(ISERROR(CD833),BZ833,MID(BZ833,CD833+2,20)&amp;" "&amp;LEFT(BZ833,CD833-1))&amp;IF(ISERROR(VALUE(CA833)),"",IF(CA833&gt;1," ("&amp;CA833&amp;")",""))</f>
        <v>Ring</v>
      </c>
      <c r="CF833" s="329" t="n">
        <f aca="false">IF(CC833=" "," ",IF(ISERROR(VALUE(CA833)),CC833,CA833*CC833))</f>
        <v>0</v>
      </c>
      <c r="CG833" s="112" t="n">
        <f aca="false">CG832+IF(AND(BZ833&lt;&gt;0,CA833&lt;&gt;0),1,0)</f>
        <v>25</v>
      </c>
      <c r="CH833" s="112" t="n">
        <f aca="false">IF($BY833&lt;=CH$615,MATCH($BY833,CG$617:CG$863,0))</f>
        <v>0</v>
      </c>
    </row>
    <row r="834" customFormat="false" ht="12.75" hidden="false" customHeight="false" outlineLevel="0" collapsed="false">
      <c r="BY834" s="333" t="n">
        <f aca="false">BY833+1</f>
        <v>218</v>
      </c>
      <c r="BZ834" s="329" t="str">
        <f aca="false">J302</f>
        <v>Ring of Accuracy</v>
      </c>
      <c r="CA834" s="112" t="n">
        <f aca="false">N302</f>
        <v>0</v>
      </c>
      <c r="CB834" s="112" t="n">
        <f aca="false">O302</f>
        <v>1500</v>
      </c>
      <c r="CC834" s="112" t="n">
        <f aca="false">P302</f>
        <v>1</v>
      </c>
      <c r="CD834" s="329" t="e">
        <f aca="false">FIND(",",BZ834)</f>
        <v>#VALUE!</v>
      </c>
      <c r="CE834" s="329" t="str">
        <f aca="false">IF(ISERROR(CD834),BZ834,MID(BZ834,CD834+2,20)&amp;" "&amp;LEFT(BZ834,CD834-1))&amp;IF(ISERROR(VALUE(CA834)),"",IF(CA834&gt;1," ("&amp;CA834&amp;")",""))</f>
        <v>Ring of Accuracy</v>
      </c>
      <c r="CF834" s="329" t="n">
        <f aca="false">IF(CC834=" "," ",IF(ISERROR(VALUE(CA834)),CC834,CA834*CC834))</f>
        <v>0</v>
      </c>
      <c r="CG834" s="112" t="n">
        <f aca="false">CG833+IF(AND(BZ834&lt;&gt;0,CA834&lt;&gt;0),1,0)</f>
        <v>25</v>
      </c>
      <c r="CH834" s="112" t="n">
        <f aca="false">IF($BY834&lt;=CH$615,MATCH($BY834,CG$617:CG$863,0))</f>
        <v>0</v>
      </c>
    </row>
    <row r="835" customFormat="false" ht="12.75" hidden="false" customHeight="false" outlineLevel="0" collapsed="false">
      <c r="BY835" s="333" t="n">
        <f aca="false">BY834+1</f>
        <v>219</v>
      </c>
      <c r="BZ835" s="329" t="str">
        <f aca="false">J303</f>
        <v>Spell Matrix Object</v>
      </c>
      <c r="CA835" s="112" t="n">
        <f aca="false">N303</f>
        <v>0</v>
      </c>
      <c r="CB835" s="112" t="n">
        <f aca="false">O303</f>
        <v>1500</v>
      </c>
      <c r="CC835" s="112" t="n">
        <f aca="false">P303</f>
        <v>2</v>
      </c>
      <c r="CD835" s="329" t="e">
        <f aca="false">FIND(",",BZ835)</f>
        <v>#VALUE!</v>
      </c>
      <c r="CE835" s="329" t="str">
        <f aca="false">IF(ISERROR(CD835),BZ835,MID(BZ835,CD835+2,20)&amp;" "&amp;LEFT(BZ835,CD835-1))&amp;IF(ISERROR(VALUE(CA835)),"",IF(CA835&gt;1," ("&amp;CA835&amp;")",""))</f>
        <v>Spell Matrix Object</v>
      </c>
      <c r="CF835" s="329" t="n">
        <f aca="false">IF(CC835=" "," ",IF(ISERROR(VALUE(CA835)),CC835,CA835*CC835))</f>
        <v>0</v>
      </c>
      <c r="CG835" s="112" t="n">
        <f aca="false">CG834+IF(AND(BZ835&lt;&gt;0,CA835&lt;&gt;0),1,0)</f>
        <v>25</v>
      </c>
      <c r="CH835" s="112" t="n">
        <f aca="false">IF($BY835&lt;=CH$615,MATCH($BY835,CG$617:CG$863,0))</f>
        <v>0</v>
      </c>
    </row>
    <row r="836" customFormat="false" ht="12.75" hidden="false" customHeight="false" outlineLevel="0" collapsed="false">
      <c r="BY836" s="333" t="n">
        <f aca="false">BY835+1</f>
        <v>220</v>
      </c>
      <c r="BZ836" s="329" t="str">
        <f aca="false">J304</f>
        <v>Vial</v>
      </c>
      <c r="CA836" s="112" t="n">
        <f aca="false">N304</f>
        <v>0</v>
      </c>
      <c r="CB836" s="112" t="n">
        <f aca="false">O304</f>
        <v>2000</v>
      </c>
      <c r="CC836" s="112" t="n">
        <f aca="false">P304</f>
        <v>1</v>
      </c>
      <c r="CD836" s="329" t="e">
        <f aca="false">FIND(",",BZ836)</f>
        <v>#VALUE!</v>
      </c>
      <c r="CE836" s="329" t="str">
        <f aca="false">IF(ISERROR(CD836),BZ836,MID(BZ836,CD836+2,20)&amp;" "&amp;LEFT(BZ836,CD836-1))&amp;IF(ISERROR(VALUE(CA836)),"",IF(CA836&gt;1," ("&amp;CA836&amp;")",""))</f>
        <v>Vial</v>
      </c>
      <c r="CF836" s="329" t="n">
        <f aca="false">IF(CC836=" "," ",IF(ISERROR(VALUE(CA836)),CC836,CA836*CC836))</f>
        <v>0</v>
      </c>
      <c r="CG836" s="112" t="n">
        <f aca="false">CG835+IF(AND(BZ836&lt;&gt;0,CA836&lt;&gt;0),1,0)</f>
        <v>25</v>
      </c>
      <c r="CH836" s="112" t="n">
        <f aca="false">IF($BY836&lt;=CH$615,MATCH($BY836,CG$617:CG$863,0))</f>
        <v>0</v>
      </c>
    </row>
    <row r="837" customFormat="false" ht="12.75" hidden="false" customHeight="false" outlineLevel="0" collapsed="false">
      <c r="BY837" s="333" t="n">
        <f aca="false">BY836+1</f>
        <v>221</v>
      </c>
      <c r="BZ837" s="329" t="str">
        <f aca="false">J305</f>
        <v>Wand</v>
      </c>
      <c r="CA837" s="112" t="n">
        <f aca="false">N305</f>
        <v>0</v>
      </c>
      <c r="CB837" s="112" t="n">
        <f aca="false">O305</f>
        <v>2100</v>
      </c>
      <c r="CC837" s="112" t="n">
        <f aca="false">P305</f>
        <v>2</v>
      </c>
      <c r="CD837" s="329" t="e">
        <f aca="false">FIND(",",BZ837)</f>
        <v>#VALUE!</v>
      </c>
      <c r="CE837" s="329" t="str">
        <f aca="false">IF(ISERROR(CD837),BZ837,MID(BZ837,CD837+2,20)&amp;" "&amp;LEFT(BZ837,CD837-1))&amp;IF(ISERROR(VALUE(CA837)),"",IF(CA837&gt;1," ("&amp;CA837&amp;")",""))</f>
        <v>Wand</v>
      </c>
      <c r="CF837" s="329" t="n">
        <f aca="false">IF(CC837=" "," ",IF(ISERROR(VALUE(CA837)),CC837,CA837*CC837))</f>
        <v>0</v>
      </c>
      <c r="CG837" s="112" t="n">
        <f aca="false">CG836+IF(AND(BZ837&lt;&gt;0,CA837&lt;&gt;0),1,0)</f>
        <v>25</v>
      </c>
      <c r="CH837" s="112" t="n">
        <f aca="false">IF($BY837&lt;=CH$615,MATCH($BY837,CG$617:CG$863,0))</f>
        <v>0</v>
      </c>
    </row>
    <row r="838" customFormat="false" ht="12.75" hidden="false" customHeight="false" outlineLevel="0" collapsed="false">
      <c r="BY838" s="333" t="n">
        <f aca="false">BY837+1</f>
        <v>222</v>
      </c>
      <c r="BZ838" s="329" t="str">
        <f aca="false">J306</f>
        <v>Wyvernskin Robes</v>
      </c>
      <c r="CA838" s="112" t="n">
        <f aca="false">N306</f>
        <v>0</v>
      </c>
      <c r="CB838" s="112" t="n">
        <f aca="false">O306</f>
        <v>6000</v>
      </c>
      <c r="CC838" s="112" t="n">
        <f aca="false">P306</f>
        <v>15</v>
      </c>
      <c r="CD838" s="329" t="e">
        <f aca="false">FIND(",",BZ838)</f>
        <v>#VALUE!</v>
      </c>
      <c r="CE838" s="329" t="str">
        <f aca="false">IF(ISERROR(CD838),BZ838,MID(BZ838,CD838+2,20)&amp;" "&amp;LEFT(BZ838,CD838-1))&amp;IF(ISERROR(VALUE(CA838)),"",IF(CA838&gt;1," ("&amp;CA838&amp;")",""))</f>
        <v>Wyvernskin Robes</v>
      </c>
      <c r="CF838" s="329" t="n">
        <f aca="false">IF(CC838=" "," ",IF(ISERROR(VALUE(CA838)),CC838,CA838*CC838))</f>
        <v>0</v>
      </c>
      <c r="CG838" s="112" t="n">
        <f aca="false">CG837+IF(AND(BZ838&lt;&gt;0,CA838&lt;&gt;0),1,0)</f>
        <v>25</v>
      </c>
      <c r="CH838" s="112" t="n">
        <f aca="false">IF($BY838&lt;=CH$615,MATCH($BY838,CG$617:CG$863,0))</f>
        <v>0</v>
      </c>
    </row>
    <row r="839" customFormat="false" ht="12.75" hidden="false" customHeight="false" outlineLevel="0" collapsed="false">
      <c r="BY839" s="333" t="n">
        <f aca="false">BY838+1</f>
        <v>223</v>
      </c>
      <c r="BZ839" s="329" t="n">
        <f aca="false">J307</f>
        <v>0</v>
      </c>
      <c r="CA839" s="112" t="n">
        <f aca="false">N307</f>
        <v>0</v>
      </c>
      <c r="CB839" s="112" t="n">
        <f aca="false">O307</f>
        <v>0</v>
      </c>
      <c r="CC839" s="112" t="n">
        <f aca="false">P307</f>
        <v>0</v>
      </c>
      <c r="CD839" s="329" t="e">
        <f aca="false">FIND(",",BZ839)</f>
        <v>#VALUE!</v>
      </c>
      <c r="CE839" s="329" t="str">
        <f aca="false">IF(ISERROR(CD839),BZ839,MID(BZ839,CD839+2,20)&amp;" "&amp;LEFT(BZ839,CD839-1))&amp;IF(ISERROR(VALUE(CA839)),"",IF(CA839&gt;1," ("&amp;CA839&amp;")",""))</f>
        <v>0</v>
      </c>
      <c r="CF839" s="329" t="n">
        <f aca="false">IF(CC839=" "," ",IF(ISERROR(VALUE(CA839)),CC839,CA839*CC839))</f>
        <v>0</v>
      </c>
      <c r="CG839" s="112" t="n">
        <f aca="false">CG838+IF(AND(BZ839&lt;&gt;0,CA839&lt;&gt;0),1,0)</f>
        <v>25</v>
      </c>
      <c r="CH839" s="112" t="n">
        <f aca="false">IF($BY839&lt;=CH$615,MATCH($BY839,CG$617:CG$863,0))</f>
        <v>0</v>
      </c>
    </row>
    <row r="62623" customFormat="false" ht="12.75" hidden="false" customHeight="false" outlineLevel="0" collapsed="false">
      <c r="CM62623" s="182" t="e">
        <f aca="false">#REF!-2</f>
        <v>#REF!</v>
      </c>
    </row>
  </sheetData>
  <mergeCells count="706">
    <mergeCell ref="B1:AC1"/>
    <mergeCell ref="I2:S2"/>
    <mergeCell ref="I3:J3"/>
    <mergeCell ref="K3:L3"/>
    <mergeCell ref="M3:O3"/>
    <mergeCell ref="Q3:S3"/>
    <mergeCell ref="I4:J5"/>
    <mergeCell ref="K4:L5"/>
    <mergeCell ref="M4:N4"/>
    <mergeCell ref="P4:Q4"/>
    <mergeCell ref="R4:S4"/>
    <mergeCell ref="M5:N5"/>
    <mergeCell ref="P5:Q5"/>
    <mergeCell ref="R5:S5"/>
    <mergeCell ref="D7:H7"/>
    <mergeCell ref="T7:U7"/>
    <mergeCell ref="V7:X7"/>
    <mergeCell ref="AB7:AC7"/>
    <mergeCell ref="D8:H8"/>
    <mergeCell ref="T8:U8"/>
    <mergeCell ref="AB8:AC8"/>
    <mergeCell ref="D9:E9"/>
    <mergeCell ref="T9:U9"/>
    <mergeCell ref="V9:X9"/>
    <mergeCell ref="AB9:AC9"/>
    <mergeCell ref="E10:F10"/>
    <mergeCell ref="T10:U10"/>
    <mergeCell ref="AB10:AC10"/>
    <mergeCell ref="T11:U11"/>
    <mergeCell ref="AB11:AC11"/>
    <mergeCell ref="W12:X12"/>
    <mergeCell ref="AB12:AC12"/>
    <mergeCell ref="D13:H14"/>
    <mergeCell ref="W13:X13"/>
    <mergeCell ref="W14:X14"/>
    <mergeCell ref="AB14:AC14"/>
    <mergeCell ref="L16:N16"/>
    <mergeCell ref="B17:D17"/>
    <mergeCell ref="L17:N17"/>
    <mergeCell ref="S17:V17"/>
    <mergeCell ref="B18:D18"/>
    <mergeCell ref="S18:V18"/>
    <mergeCell ref="B19:D19"/>
    <mergeCell ref="L19:N19"/>
    <mergeCell ref="S19:V19"/>
    <mergeCell ref="B20:D20"/>
    <mergeCell ref="L20:N20"/>
    <mergeCell ref="S20:V20"/>
    <mergeCell ref="B21:D21"/>
    <mergeCell ref="L21:N21"/>
    <mergeCell ref="S21:V21"/>
    <mergeCell ref="B22:D22"/>
    <mergeCell ref="L22:N22"/>
    <mergeCell ref="S22:V22"/>
    <mergeCell ref="B23:D23"/>
    <mergeCell ref="L23:N23"/>
    <mergeCell ref="S23:V23"/>
    <mergeCell ref="B24:E24"/>
    <mergeCell ref="L24:N24"/>
    <mergeCell ref="S24:V24"/>
    <mergeCell ref="B25:E25"/>
    <mergeCell ref="L25:N25"/>
    <mergeCell ref="S25:V25"/>
    <mergeCell ref="B26:E26"/>
    <mergeCell ref="L26:N26"/>
    <mergeCell ref="S26:V26"/>
    <mergeCell ref="B27:E27"/>
    <mergeCell ref="L27:N27"/>
    <mergeCell ref="S27:V27"/>
    <mergeCell ref="B28:E28"/>
    <mergeCell ref="L28:N28"/>
    <mergeCell ref="S28:V28"/>
    <mergeCell ref="B29:E29"/>
    <mergeCell ref="L29:N29"/>
    <mergeCell ref="S29:V29"/>
    <mergeCell ref="B30:E30"/>
    <mergeCell ref="L30:N30"/>
    <mergeCell ref="S30:V30"/>
    <mergeCell ref="B31:E31"/>
    <mergeCell ref="L31:N31"/>
    <mergeCell ref="S31:V31"/>
    <mergeCell ref="B32:E32"/>
    <mergeCell ref="L32:N32"/>
    <mergeCell ref="S32:V32"/>
    <mergeCell ref="B33:E33"/>
    <mergeCell ref="L33:N33"/>
    <mergeCell ref="S33:V33"/>
    <mergeCell ref="B34:E34"/>
    <mergeCell ref="K34:L35"/>
    <mergeCell ref="M34:M35"/>
    <mergeCell ref="N34:N35"/>
    <mergeCell ref="O34:O35"/>
    <mergeCell ref="P34:P35"/>
    <mergeCell ref="Q34:Q35"/>
    <mergeCell ref="S34:V34"/>
    <mergeCell ref="B35:E35"/>
    <mergeCell ref="S35:V35"/>
    <mergeCell ref="B36:E36"/>
    <mergeCell ref="K36:L36"/>
    <mergeCell ref="S36:V36"/>
    <mergeCell ref="B37:E37"/>
    <mergeCell ref="K37:L37"/>
    <mergeCell ref="S37:V37"/>
    <mergeCell ref="B38:E38"/>
    <mergeCell ref="K38:L38"/>
    <mergeCell ref="S38:V38"/>
    <mergeCell ref="B39:E39"/>
    <mergeCell ref="K39:L39"/>
    <mergeCell ref="S39:V39"/>
    <mergeCell ref="B40:E40"/>
    <mergeCell ref="K40:L40"/>
    <mergeCell ref="S40:V40"/>
    <mergeCell ref="B41:E41"/>
    <mergeCell ref="K41:L41"/>
    <mergeCell ref="S41:V41"/>
    <mergeCell ref="B42:E42"/>
    <mergeCell ref="K42:L42"/>
    <mergeCell ref="S42:V42"/>
    <mergeCell ref="B43:E43"/>
    <mergeCell ref="K43:L43"/>
    <mergeCell ref="S43:V43"/>
    <mergeCell ref="B44:E44"/>
    <mergeCell ref="K44:L44"/>
    <mergeCell ref="S44:V44"/>
    <mergeCell ref="B45:E45"/>
    <mergeCell ref="K45:L45"/>
    <mergeCell ref="S45:V45"/>
    <mergeCell ref="B46:E46"/>
    <mergeCell ref="K46:L46"/>
    <mergeCell ref="S46:V46"/>
    <mergeCell ref="B47:E47"/>
    <mergeCell ref="K47:L47"/>
    <mergeCell ref="S47:V47"/>
    <mergeCell ref="B48:E48"/>
    <mergeCell ref="K48:L48"/>
    <mergeCell ref="S48:V48"/>
    <mergeCell ref="B49:E49"/>
    <mergeCell ref="K49:L49"/>
    <mergeCell ref="S49:V49"/>
    <mergeCell ref="B50:E50"/>
    <mergeCell ref="K50:L50"/>
    <mergeCell ref="S50:V50"/>
    <mergeCell ref="B51:E51"/>
    <mergeCell ref="K51:L51"/>
    <mergeCell ref="S51:V51"/>
    <mergeCell ref="B52:E52"/>
    <mergeCell ref="K52:L52"/>
    <mergeCell ref="S52:V52"/>
    <mergeCell ref="B53:E53"/>
    <mergeCell ref="K53:L53"/>
    <mergeCell ref="S53:V53"/>
    <mergeCell ref="B54:E54"/>
    <mergeCell ref="K54:L54"/>
    <mergeCell ref="S54:V54"/>
    <mergeCell ref="B55:E55"/>
    <mergeCell ref="K55:L55"/>
    <mergeCell ref="S55:V55"/>
    <mergeCell ref="B56:E56"/>
    <mergeCell ref="K56:L56"/>
    <mergeCell ref="S56:V56"/>
    <mergeCell ref="B57:E57"/>
    <mergeCell ref="K57:L57"/>
    <mergeCell ref="S57:V57"/>
    <mergeCell ref="K58:L58"/>
    <mergeCell ref="K59:L59"/>
    <mergeCell ref="K60:L60"/>
    <mergeCell ref="B61:E62"/>
    <mergeCell ref="G61:J61"/>
    <mergeCell ref="K61:L61"/>
    <mergeCell ref="K62:L62"/>
    <mergeCell ref="B63:C63"/>
    <mergeCell ref="G63:H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4:C74"/>
    <mergeCell ref="G74:H74"/>
    <mergeCell ref="L74:N74"/>
    <mergeCell ref="B75:C75"/>
    <mergeCell ref="G75:H75"/>
    <mergeCell ref="L75:N75"/>
    <mergeCell ref="L76:N76"/>
    <mergeCell ref="L77:N77"/>
    <mergeCell ref="L78:N78"/>
    <mergeCell ref="H80:I80"/>
    <mergeCell ref="Q80:R80"/>
    <mergeCell ref="T80:V80"/>
    <mergeCell ref="Z80:AA80"/>
    <mergeCell ref="H81:I81"/>
    <mergeCell ref="Q81:R81"/>
    <mergeCell ref="Z81:AA81"/>
    <mergeCell ref="H82:I82"/>
    <mergeCell ref="Q82:R82"/>
    <mergeCell ref="Z82:AA82"/>
    <mergeCell ref="H83:I83"/>
    <mergeCell ref="Q83:R83"/>
    <mergeCell ref="Z83:AA83"/>
    <mergeCell ref="H84:I84"/>
    <mergeCell ref="Q84:R84"/>
    <mergeCell ref="Z84:AA84"/>
    <mergeCell ref="H85:I85"/>
    <mergeCell ref="Q85:R85"/>
    <mergeCell ref="Z85:AA85"/>
    <mergeCell ref="H86:I86"/>
    <mergeCell ref="Q86:R86"/>
    <mergeCell ref="Z86:AA86"/>
    <mergeCell ref="H87:I87"/>
    <mergeCell ref="Q87:R87"/>
    <mergeCell ref="Z87:AA87"/>
    <mergeCell ref="H88:I88"/>
    <mergeCell ref="Q88:R88"/>
    <mergeCell ref="Z88:AA88"/>
    <mergeCell ref="H89:I89"/>
    <mergeCell ref="Q89:R89"/>
    <mergeCell ref="Z89:AA89"/>
    <mergeCell ref="H90:I90"/>
    <mergeCell ref="Q90:R90"/>
    <mergeCell ref="Z90:AA90"/>
    <mergeCell ref="H91:I91"/>
    <mergeCell ref="Q91:R91"/>
    <mergeCell ref="Z91:AA91"/>
    <mergeCell ref="H92:I92"/>
    <mergeCell ref="Q92:R92"/>
    <mergeCell ref="Z92:AA92"/>
    <mergeCell ref="H93:I93"/>
    <mergeCell ref="Q93:R93"/>
    <mergeCell ref="Z93:AA93"/>
    <mergeCell ref="H94:I94"/>
    <mergeCell ref="Q94:R94"/>
    <mergeCell ref="Z94:AA94"/>
    <mergeCell ref="H95:I95"/>
    <mergeCell ref="Q95:R95"/>
    <mergeCell ref="Z95:AA95"/>
    <mergeCell ref="H96:I96"/>
    <mergeCell ref="Q96:R96"/>
    <mergeCell ref="Z96:AA96"/>
    <mergeCell ref="H97:I97"/>
    <mergeCell ref="Q97:R97"/>
    <mergeCell ref="Z97:AA97"/>
    <mergeCell ref="Q98:R98"/>
    <mergeCell ref="Z98:AA98"/>
    <mergeCell ref="H99:I99"/>
    <mergeCell ref="Q99:R99"/>
    <mergeCell ref="Z99:AA99"/>
    <mergeCell ref="H100:I100"/>
    <mergeCell ref="Q100:R100"/>
    <mergeCell ref="Z100:AA100"/>
    <mergeCell ref="H101:I101"/>
    <mergeCell ref="Q101:R101"/>
    <mergeCell ref="Z101:AA101"/>
    <mergeCell ref="H102:I102"/>
    <mergeCell ref="Q102:R102"/>
    <mergeCell ref="Z102:AA102"/>
    <mergeCell ref="H103:I103"/>
    <mergeCell ref="Q103:R103"/>
    <mergeCell ref="Z103:AA103"/>
    <mergeCell ref="H104:I104"/>
    <mergeCell ref="Q104:R104"/>
    <mergeCell ref="Z104:AA104"/>
    <mergeCell ref="H105:I105"/>
    <mergeCell ref="Q105:R105"/>
    <mergeCell ref="Z105:AA105"/>
    <mergeCell ref="H106:I106"/>
    <mergeCell ref="Q106:R106"/>
    <mergeCell ref="Z106:AA106"/>
    <mergeCell ref="H107:I107"/>
    <mergeCell ref="Q107:R107"/>
    <mergeCell ref="Z107:AA107"/>
    <mergeCell ref="H108:I108"/>
    <mergeCell ref="Q108:R108"/>
    <mergeCell ref="Z108:AA108"/>
    <mergeCell ref="H109:I109"/>
    <mergeCell ref="K109:M109"/>
    <mergeCell ref="Q109:R109"/>
    <mergeCell ref="Z109:AA109"/>
    <mergeCell ref="H110:I110"/>
    <mergeCell ref="K110:M110"/>
    <mergeCell ref="Q110:R110"/>
    <mergeCell ref="Z110:AA110"/>
    <mergeCell ref="H111:I111"/>
    <mergeCell ref="Q111:R111"/>
    <mergeCell ref="Z111:AA111"/>
    <mergeCell ref="Z112:AA112"/>
    <mergeCell ref="Z113:AA113"/>
    <mergeCell ref="B114:D114"/>
    <mergeCell ref="I114:J114"/>
    <mergeCell ref="O114:P114"/>
    <mergeCell ref="Q114:R114"/>
    <mergeCell ref="Z114:AA114"/>
    <mergeCell ref="O115:P115"/>
    <mergeCell ref="Q115:R115"/>
    <mergeCell ref="O116:P116"/>
    <mergeCell ref="Q116:R116"/>
    <mergeCell ref="Z116:AA116"/>
    <mergeCell ref="O117:P117"/>
    <mergeCell ref="Q117:R117"/>
    <mergeCell ref="Z117:AA117"/>
    <mergeCell ref="O118:P118"/>
    <mergeCell ref="Q118:R118"/>
    <mergeCell ref="Z118:AA118"/>
    <mergeCell ref="O119:P119"/>
    <mergeCell ref="Q119:R119"/>
    <mergeCell ref="Z119:AA119"/>
    <mergeCell ref="O120:P120"/>
    <mergeCell ref="Q120:R120"/>
    <mergeCell ref="Z120:AA120"/>
    <mergeCell ref="O121:P121"/>
    <mergeCell ref="Q121:R121"/>
    <mergeCell ref="Z121:AA121"/>
    <mergeCell ref="O122:P122"/>
    <mergeCell ref="Q122:R122"/>
    <mergeCell ref="Z122:AA122"/>
    <mergeCell ref="O123:P123"/>
    <mergeCell ref="Q123:R123"/>
    <mergeCell ref="Z123:AA123"/>
    <mergeCell ref="O124:P124"/>
    <mergeCell ref="Q124:R124"/>
    <mergeCell ref="Z124:AA124"/>
    <mergeCell ref="O125:P125"/>
    <mergeCell ref="Q125:R125"/>
    <mergeCell ref="Z125:AA125"/>
    <mergeCell ref="O126:P126"/>
    <mergeCell ref="Q126:R126"/>
    <mergeCell ref="Z126:AA126"/>
    <mergeCell ref="O127:P127"/>
    <mergeCell ref="Q127:R127"/>
    <mergeCell ref="Z127:AA127"/>
    <mergeCell ref="O128:P128"/>
    <mergeCell ref="Q128:R128"/>
    <mergeCell ref="Z128:AA128"/>
    <mergeCell ref="O129:P129"/>
    <mergeCell ref="Q129:R129"/>
    <mergeCell ref="Z129:AA129"/>
    <mergeCell ref="O130:P130"/>
    <mergeCell ref="Q130:R130"/>
    <mergeCell ref="Z130:AA130"/>
    <mergeCell ref="O131:P131"/>
    <mergeCell ref="Q131:R131"/>
    <mergeCell ref="Z131:AA131"/>
    <mergeCell ref="O132:P132"/>
    <mergeCell ref="Q132:R132"/>
    <mergeCell ref="Z132:AA132"/>
    <mergeCell ref="O133:P133"/>
    <mergeCell ref="Q133:R133"/>
    <mergeCell ref="Z133:AA133"/>
    <mergeCell ref="O134:P134"/>
    <mergeCell ref="Q134:R134"/>
    <mergeCell ref="Z134:AA134"/>
    <mergeCell ref="O135:P135"/>
    <mergeCell ref="Q135:R135"/>
    <mergeCell ref="Z135:AA135"/>
    <mergeCell ref="O136:P136"/>
    <mergeCell ref="Q136:R136"/>
    <mergeCell ref="Z136:AA136"/>
    <mergeCell ref="O137:P137"/>
    <mergeCell ref="Q137:R137"/>
    <mergeCell ref="Z137:AA137"/>
    <mergeCell ref="O138:P138"/>
    <mergeCell ref="Q138:R138"/>
    <mergeCell ref="Z138:AA138"/>
    <mergeCell ref="AC138:AF138"/>
    <mergeCell ref="AK138:AL138"/>
    <mergeCell ref="AQ138:AR138"/>
    <mergeCell ref="AS138:AT138"/>
    <mergeCell ref="O139:P139"/>
    <mergeCell ref="Q139:R139"/>
    <mergeCell ref="Z139:AA139"/>
    <mergeCell ref="AC139:AF139"/>
    <mergeCell ref="AK139:AL139"/>
    <mergeCell ref="AQ139:AR139"/>
    <mergeCell ref="AS139:AT139"/>
    <mergeCell ref="O140:P140"/>
    <mergeCell ref="Q140:R140"/>
    <mergeCell ref="AC140:AF140"/>
    <mergeCell ref="AK140:AL140"/>
    <mergeCell ref="AQ140:AR140"/>
    <mergeCell ref="AS140:AT140"/>
    <mergeCell ref="O141:P141"/>
    <mergeCell ref="Q141:R141"/>
    <mergeCell ref="AC141:AF141"/>
    <mergeCell ref="AK141:AL141"/>
    <mergeCell ref="AQ141:AR141"/>
    <mergeCell ref="AS141:AT141"/>
    <mergeCell ref="O142:P142"/>
    <mergeCell ref="Q142:R142"/>
    <mergeCell ref="AC142:AF142"/>
    <mergeCell ref="AK142:AL142"/>
    <mergeCell ref="AQ142:AR142"/>
    <mergeCell ref="AS142:AT142"/>
    <mergeCell ref="O143:P143"/>
    <mergeCell ref="Q143:R143"/>
    <mergeCell ref="AC143:AF143"/>
    <mergeCell ref="AK143:AL143"/>
    <mergeCell ref="AQ143:AR143"/>
    <mergeCell ref="AS143:AT143"/>
    <mergeCell ref="O144:P144"/>
    <mergeCell ref="Q144:R144"/>
    <mergeCell ref="AC144:AF144"/>
    <mergeCell ref="AK144:AL144"/>
    <mergeCell ref="AQ144:AR144"/>
    <mergeCell ref="AS144:AT144"/>
    <mergeCell ref="O145:P145"/>
    <mergeCell ref="Q145:R145"/>
    <mergeCell ref="AC145:AF145"/>
    <mergeCell ref="AK145:AL145"/>
    <mergeCell ref="AQ145:AR145"/>
    <mergeCell ref="AS145:AT145"/>
    <mergeCell ref="O146:P146"/>
    <mergeCell ref="Q146:R146"/>
    <mergeCell ref="AC146:AF146"/>
    <mergeCell ref="AK146:AL146"/>
    <mergeCell ref="AQ146:AR146"/>
    <mergeCell ref="AS146:AT146"/>
    <mergeCell ref="O147:P147"/>
    <mergeCell ref="Q147:R147"/>
    <mergeCell ref="AC147:AF147"/>
    <mergeCell ref="AK147:AL147"/>
    <mergeCell ref="AQ147:AR147"/>
    <mergeCell ref="AS147:AT147"/>
    <mergeCell ref="O148:P148"/>
    <mergeCell ref="Q148:R148"/>
    <mergeCell ref="AC148:AF148"/>
    <mergeCell ref="AK148:AL148"/>
    <mergeCell ref="AQ148:AR148"/>
    <mergeCell ref="AS148:AT148"/>
    <mergeCell ref="AC149:AF149"/>
    <mergeCell ref="AK149:AL149"/>
    <mergeCell ref="AQ149:AR149"/>
    <mergeCell ref="AS149:AT149"/>
    <mergeCell ref="AC150:AF150"/>
    <mergeCell ref="AK150:AL150"/>
    <mergeCell ref="AQ150:AR150"/>
    <mergeCell ref="AS150:AT150"/>
    <mergeCell ref="AC151:AF151"/>
    <mergeCell ref="AK151:AL151"/>
    <mergeCell ref="AQ151:AR151"/>
    <mergeCell ref="AS151:AT151"/>
    <mergeCell ref="AC152:AF152"/>
    <mergeCell ref="AK152:AL152"/>
    <mergeCell ref="AQ152:AR152"/>
    <mergeCell ref="AS152:AT152"/>
    <mergeCell ref="AC153:AF153"/>
    <mergeCell ref="AK153:AL153"/>
    <mergeCell ref="AQ153:AR153"/>
    <mergeCell ref="AS153:AT153"/>
    <mergeCell ref="AC154:AF154"/>
    <mergeCell ref="AK154:AL154"/>
    <mergeCell ref="AQ154:AR154"/>
    <mergeCell ref="AS154:AT154"/>
    <mergeCell ref="AC155:AF155"/>
    <mergeCell ref="AK155:AL155"/>
    <mergeCell ref="AQ155:AR155"/>
    <mergeCell ref="AS155:AT155"/>
    <mergeCell ref="AC156:AF156"/>
    <mergeCell ref="AK156:AL156"/>
    <mergeCell ref="AQ156:AR156"/>
    <mergeCell ref="AS156:AT156"/>
    <mergeCell ref="Z158:AA158"/>
    <mergeCell ref="Z159:AA159"/>
    <mergeCell ref="T160:V160"/>
    <mergeCell ref="Z160:AA160"/>
    <mergeCell ref="O161:P161"/>
    <mergeCell ref="Q161:R161"/>
    <mergeCell ref="T161:V161"/>
    <mergeCell ref="Z161:AA161"/>
    <mergeCell ref="I162:J162"/>
    <mergeCell ref="O162:P162"/>
    <mergeCell ref="Q162:R162"/>
    <mergeCell ref="T162:V162"/>
    <mergeCell ref="Z162:AA162"/>
    <mergeCell ref="O163:P163"/>
    <mergeCell ref="Q163:R163"/>
    <mergeCell ref="T163:V163"/>
    <mergeCell ref="Z163:AA163"/>
    <mergeCell ref="I164:J164"/>
    <mergeCell ref="O164:P164"/>
    <mergeCell ref="Q164:R164"/>
    <mergeCell ref="T164:V164"/>
    <mergeCell ref="Z164:AA164"/>
    <mergeCell ref="O165:P165"/>
    <mergeCell ref="Q165:R165"/>
    <mergeCell ref="T165:V165"/>
    <mergeCell ref="Z165:AA165"/>
    <mergeCell ref="O166:P166"/>
    <mergeCell ref="Q166:R166"/>
    <mergeCell ref="T166:V166"/>
    <mergeCell ref="Z166:AA166"/>
    <mergeCell ref="O167:P167"/>
    <mergeCell ref="Q167:R167"/>
    <mergeCell ref="T167:V167"/>
    <mergeCell ref="Z167:AA167"/>
    <mergeCell ref="O168:P168"/>
    <mergeCell ref="Q168:R168"/>
    <mergeCell ref="T168:V168"/>
    <mergeCell ref="Z168:AA168"/>
    <mergeCell ref="O169:P169"/>
    <mergeCell ref="Q169:R169"/>
    <mergeCell ref="T169:V169"/>
    <mergeCell ref="Z169:AA169"/>
    <mergeCell ref="O170:P170"/>
    <mergeCell ref="Q170:R170"/>
    <mergeCell ref="T170:V170"/>
    <mergeCell ref="Z170:AA170"/>
    <mergeCell ref="O171:P171"/>
    <mergeCell ref="Q171:R171"/>
    <mergeCell ref="T171:V171"/>
    <mergeCell ref="Z171:AA171"/>
    <mergeCell ref="O172:P172"/>
    <mergeCell ref="Q172:R172"/>
    <mergeCell ref="T172:V172"/>
    <mergeCell ref="Z172:AA172"/>
    <mergeCell ref="O173:P173"/>
    <mergeCell ref="Q173:R173"/>
    <mergeCell ref="T173:V173"/>
    <mergeCell ref="Z173:AA173"/>
    <mergeCell ref="O174:P174"/>
    <mergeCell ref="Q174:R174"/>
    <mergeCell ref="T174:V174"/>
    <mergeCell ref="Z174:AA174"/>
    <mergeCell ref="O175:P175"/>
    <mergeCell ref="Q175:R175"/>
    <mergeCell ref="T175:V175"/>
    <mergeCell ref="Z175:AA175"/>
    <mergeCell ref="O176:P176"/>
    <mergeCell ref="Q176:R176"/>
    <mergeCell ref="T176:V176"/>
    <mergeCell ref="Z176:AA176"/>
    <mergeCell ref="O177:P177"/>
    <mergeCell ref="Q177:R177"/>
    <mergeCell ref="T177:V177"/>
    <mergeCell ref="Z177:AA177"/>
    <mergeCell ref="T178:V178"/>
    <mergeCell ref="Z178:AA178"/>
    <mergeCell ref="T179:V179"/>
    <mergeCell ref="Z179:AA179"/>
    <mergeCell ref="T180:V180"/>
    <mergeCell ref="Z180:AA180"/>
    <mergeCell ref="T181:V181"/>
    <mergeCell ref="Z181:AA181"/>
    <mergeCell ref="T182:V182"/>
    <mergeCell ref="Z182:AA182"/>
    <mergeCell ref="T183:V183"/>
    <mergeCell ref="Z183:AA183"/>
    <mergeCell ref="T184:V184"/>
    <mergeCell ref="Z184:AA184"/>
    <mergeCell ref="T185:V185"/>
    <mergeCell ref="Z185:AA185"/>
    <mergeCell ref="O187:P187"/>
    <mergeCell ref="Q187:R187"/>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W210:Y210"/>
    <mergeCell ref="B211:D211"/>
    <mergeCell ref="W211:Y211"/>
    <mergeCell ref="B212:D212"/>
    <mergeCell ref="W212:Y212"/>
    <mergeCell ref="B213:D213"/>
    <mergeCell ref="B214:D214"/>
    <mergeCell ref="V214:Y214"/>
    <mergeCell ref="B215:D215"/>
    <mergeCell ref="B216:D216"/>
    <mergeCell ref="B225:D225"/>
    <mergeCell ref="B314:G314"/>
    <mergeCell ref="V314:W314"/>
    <mergeCell ref="B315:G315"/>
    <mergeCell ref="V315:W315"/>
    <mergeCell ref="B316:G316"/>
    <mergeCell ref="V316:W316"/>
    <mergeCell ref="B317:G317"/>
    <mergeCell ref="V317:W317"/>
    <mergeCell ref="B318:G318"/>
    <mergeCell ref="V318:W318"/>
    <mergeCell ref="B319:G319"/>
    <mergeCell ref="V319:W319"/>
    <mergeCell ref="B320:G320"/>
    <mergeCell ref="V320:W320"/>
    <mergeCell ref="B321:G321"/>
    <mergeCell ref="V321:W321"/>
    <mergeCell ref="B322:G322"/>
    <mergeCell ref="V322:W322"/>
    <mergeCell ref="B323:G323"/>
    <mergeCell ref="V323:W323"/>
    <mergeCell ref="B324:G324"/>
    <mergeCell ref="V324:W324"/>
    <mergeCell ref="B327:N330"/>
    <mergeCell ref="B332:N332"/>
    <mergeCell ref="B333:N334"/>
    <mergeCell ref="B337:N341"/>
    <mergeCell ref="B343:N343"/>
    <mergeCell ref="B344:N344"/>
    <mergeCell ref="B345:N345"/>
    <mergeCell ref="B346:N346"/>
    <mergeCell ref="X353:Y353"/>
    <mergeCell ref="C354:I354"/>
    <mergeCell ref="X354:Y354"/>
    <mergeCell ref="C355:I355"/>
    <mergeCell ref="X355:Y355"/>
    <mergeCell ref="AB355:AD355"/>
    <mergeCell ref="C356:I356"/>
    <mergeCell ref="X356:Y356"/>
    <mergeCell ref="AB356:AD356"/>
    <mergeCell ref="C357:I357"/>
    <mergeCell ref="X357:Y357"/>
    <mergeCell ref="AB357:AD357"/>
    <mergeCell ref="C358:I358"/>
    <mergeCell ref="X358:Y358"/>
    <mergeCell ref="AB358:AD358"/>
    <mergeCell ref="C359:I359"/>
    <mergeCell ref="X359:Y359"/>
    <mergeCell ref="AB359:AD359"/>
    <mergeCell ref="C360:I360"/>
    <mergeCell ref="X360:Y360"/>
    <mergeCell ref="AB360:AD360"/>
    <mergeCell ref="C361:I361"/>
    <mergeCell ref="X361:Y361"/>
    <mergeCell ref="AB361:AD361"/>
    <mergeCell ref="C362:I362"/>
    <mergeCell ref="X362:Y362"/>
    <mergeCell ref="AB362:AD362"/>
    <mergeCell ref="C363:I363"/>
    <mergeCell ref="X363:Y363"/>
    <mergeCell ref="AB363:AD363"/>
    <mergeCell ref="C364:I364"/>
    <mergeCell ref="X364:Y364"/>
    <mergeCell ref="AB364:AD364"/>
    <mergeCell ref="C365:I365"/>
    <mergeCell ref="X365:Y365"/>
    <mergeCell ref="AB365:AD365"/>
    <mergeCell ref="C366:I366"/>
    <mergeCell ref="X366:Y366"/>
    <mergeCell ref="AB366:AD366"/>
    <mergeCell ref="C367:I367"/>
    <mergeCell ref="X367:Y367"/>
    <mergeCell ref="AB367:AD367"/>
    <mergeCell ref="C368:I368"/>
    <mergeCell ref="X368:Y371"/>
    <mergeCell ref="C369:I369"/>
    <mergeCell ref="C370:I370"/>
    <mergeCell ref="C371:I371"/>
    <mergeCell ref="C372:I372"/>
    <mergeCell ref="C373:I373"/>
    <mergeCell ref="C374:I374"/>
    <mergeCell ref="C375:I375"/>
    <mergeCell ref="C376:I376"/>
    <mergeCell ref="C377:I377"/>
    <mergeCell ref="C378:I378"/>
    <mergeCell ref="C379:I379"/>
    <mergeCell ref="C380:I380"/>
    <mergeCell ref="C381:I381"/>
    <mergeCell ref="C382:I382"/>
    <mergeCell ref="C383:I383"/>
    <mergeCell ref="C384:I384"/>
    <mergeCell ref="C385:I385"/>
    <mergeCell ref="C386:I386"/>
    <mergeCell ref="C387:I387"/>
    <mergeCell ref="C388:I388"/>
    <mergeCell ref="C389:I389"/>
    <mergeCell ref="C390:I390"/>
    <mergeCell ref="AA615:AF615"/>
    <mergeCell ref="AG615:AL615"/>
  </mergeCells>
  <dataValidations count="19">
    <dataValidation allowBlank="true" operator="between" showDropDown="false" showErrorMessage="true" showInputMessage="true" sqref="L19:L33" type="list">
      <formula1>Talents1</formula1>
      <formula2>0</formula2>
    </dataValidation>
    <dataValidation allowBlank="true" operator="between" showDropDown="false" showErrorMessage="true" showInputMessage="true" sqref="V7:X7 V9:X9" type="list">
      <formula1>Disciplines1</formula1>
      <formula2>0</formula2>
    </dataValidation>
    <dataValidation allowBlank="true" operator="between" showDropDown="false" showErrorMessage="true" showInputMessage="true" sqref="V8 V10:V11 F17:G57 O17:P17 W17:X57 O19:P33 V62:V78 E81:F97 N81:O107 W81:X151 E100:F111 N109:O111 W152:X187" type="list">
      <formula1>Number</formula1>
      <formula2>0</formula2>
    </dataValidation>
    <dataValidation allowBlank="true" operator="between" showDropDown="false" showErrorMessage="true" showInputMessage="true" sqref="D9:E9" type="list">
      <formula1>Race1</formula1>
      <formula2>0</formula2>
    </dataValidation>
    <dataValidation allowBlank="true" operator="between" showDropDown="false" showErrorMessage="true" showInputMessage="true" sqref="M8:M13" type="list">
      <formula1>AttValue1</formula1>
      <formula2>0</formula2>
    </dataValidation>
    <dataValidation allowBlank="true" operator="between" showDropDown="false" showErrorMessage="true" showInputMessage="true" sqref="D10" type="list">
      <formula1>Gender</formula1>
      <formula2>0</formula2>
    </dataValidation>
    <dataValidation allowBlank="true" operator="between" showDropDown="false" showErrorMessage="true" showInputMessage="true" sqref="N36:N62 E115:E157 AG138:AG156 E158:E187 E190:E202 P190:P232 AD190:AE198 AE199:AE201 E203:E232 E235:E250 K235:K250 Q235:Q250 W235:W250 B393:B401 H393:H422 N393:N422 T393:T422 AA393:AA400 B402:B422 B425:B433 H425:H454 N425:N454 T425:T454 AA425:AA432 B434:B454 B457:B465 H457:H486 N457:N486 T457:T486 AA457:AA464 B466:B486 B489:B497 H489:H518 N489:N518 T489:T518 AA489:AA496 B498:B518 B521:B529 H521:H550 N521:N550 T521:T550 AA521:AA528 B530:B550 B553:B561 H553:H582 N553:N582 T553:T582 AA553:AA560 B562:B582" type="list">
      <formula1>Yes</formula1>
      <formula2>0</formula2>
    </dataValidation>
    <dataValidation allowBlank="true" operator="between" showDropDown="false" showErrorMessage="true" showInputMessage="true" sqref="D63:D75 I63:I75" type="list">
      <formula1>Number2</formula1>
      <formula2>0</formula2>
    </dataValidation>
    <dataValidation allowBlank="true" operator="between" showDropDown="false" showErrorMessage="true" showInputMessage="true" sqref="M36:M62" type="list">
      <formula1>Yes1</formula1>
      <formula2>0</formula2>
    </dataValidation>
    <dataValidation allowBlank="true" operator="between" showDropDown="false" showErrorMessage="true" showInputMessage="true" sqref="B23:D23" type="list">
      <formula1>INDIRECT(Discipline1&amp;"_Talents1_list")</formula1>
      <formula2>0</formula2>
    </dataValidation>
    <dataValidation allowBlank="true" operator="between" showDropDown="false" showErrorMessage="true" showInputMessage="true" sqref="B25:E26 B28:E28 B30:E30" type="list">
      <formula1>INDIRECT(Discipline1&amp;"_Talents2_list")</formula1>
      <formula2>0</formula2>
    </dataValidation>
    <dataValidation allowBlank="true" operator="between" showDropDown="false" showErrorMessage="true" showInputMessage="true" sqref="B32:E33 B35:E35 B37:E37 B39:E40" type="list">
      <formula1>INDIRECT(Discipline1&amp;"_Talents3_list")</formula1>
      <formula2>0</formula2>
    </dataValidation>
    <dataValidation allowBlank="true" operator="between" showDropDown="false" showErrorMessage="true" showInputMessage="true" sqref="B42:E43 B45:E45 B47:E47 B49:E49" type="list">
      <formula1>INDIRECT(Discipline1&amp;"_Talents4_list")</formula1>
      <formula2>0</formula2>
    </dataValidation>
    <dataValidation allowBlank="true" operator="between" showDropDown="false" showErrorMessage="true" showInputMessage="true" sqref="B51:E52 B54:E54 B56:E57" type="list">
      <formula1>INDIRECT(Discipline1&amp;"_Talents5_list")</formula1>
      <formula2>0</formula2>
    </dataValidation>
    <dataValidation allowBlank="true" operator="between" showDropDown="false" showErrorMessage="true" showInputMessage="true" sqref="S23:V23" type="list">
      <formula1>INDIRECT(Discipline2&amp;"_Talents1_list")</formula1>
      <formula2>0</formula2>
    </dataValidation>
    <dataValidation allowBlank="true" operator="between" showDropDown="false" showErrorMessage="true" showInputMessage="true" sqref="S25:V26 S28:V28 S30:V30" type="list">
      <formula1>INDIRECT(Discipline2&amp;"_Talents2_list")</formula1>
      <formula2>0</formula2>
    </dataValidation>
    <dataValidation allowBlank="true" operator="between" showDropDown="false" showErrorMessage="true" showInputMessage="true" sqref="S32:V33 S35:V35 S37:V37 S39:V40" type="list">
      <formula1>INDIRECT(Discipline2&amp;"_Talents3_list")</formula1>
      <formula2>0</formula2>
    </dataValidation>
    <dataValidation allowBlank="true" operator="between" showDropDown="false" showErrorMessage="true" showInputMessage="true" sqref="S42:V43 S45:V45 S47:V47 S49:V49" type="list">
      <formula1>INDIRECT(Discipline2&amp;"_Talents4_list")</formula1>
      <formula2>0</formula2>
    </dataValidation>
    <dataValidation allowBlank="true" operator="between" showDropDown="false" showErrorMessage="true" showInputMessage="true" sqref="S51:V52 S54:V54 S56:V57" type="list">
      <formula1>INDIRECT(Discipline2&amp;"_Talents5_list")</formula1>
      <formula2>0</formula2>
    </dataValidation>
  </dataValidations>
  <printOptions headings="true" gridLines="true" gridLinesSet="true" horizontalCentered="false" verticalCentered="false"/>
  <pageMargins left="0.25" right="0.25" top="1" bottom="1" header="0.5" footer="0.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N65"/>
  <sheetViews>
    <sheetView showFormulas="false" showGridLines="true" showRowColHeaders="true" showZeros="true" rightToLeft="false" tabSelected="false" showOutlineSymbols="true" defaultGridColor="true" view="normal" topLeftCell="A19" colorId="64" zoomScale="110" zoomScaleNormal="110" zoomScalePageLayoutView="100" workbookViewId="0">
      <selection pane="topLeft" activeCell="AH41" activeCellId="0" sqref="AH41"/>
    </sheetView>
  </sheetViews>
  <sheetFormatPr defaultRowHeight="12.75" zeroHeight="false" outlineLevelRow="0" outlineLevelCol="0"/>
  <cols>
    <col collapsed="false" customWidth="true" hidden="false" outlineLevel="0" max="6" min="1" style="0" width="2.82"/>
    <col collapsed="false" customWidth="true" hidden="false" outlineLevel="0" max="7" min="7" style="0" width="0.83"/>
    <col collapsed="false" customWidth="true" hidden="false" outlineLevel="0" max="25" min="8" style="0" width="2.82"/>
    <col collapsed="false" customWidth="true" hidden="false" outlineLevel="0" max="26" min="26" style="0" width="4.17"/>
    <col collapsed="false" customWidth="true" hidden="false" outlineLevel="0" max="27" min="27" style="0" width="2.02"/>
    <col collapsed="false" customWidth="true" hidden="false" outlineLevel="0" max="39" min="28" style="0" width="2.82"/>
    <col collapsed="false" customWidth="true" hidden="true" outlineLevel="0" max="40" min="40" style="0" width="12.83"/>
    <col collapsed="false" customWidth="true" hidden="false" outlineLevel="0" max="1025" min="41" style="0" width="12.5"/>
  </cols>
  <sheetData>
    <row r="1" customFormat="false" ht="35.25" hidden="false" customHeight="true" outlineLevel="0" collapsed="false">
      <c r="A1" s="344" t="s">
        <v>1108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5"/>
    </row>
    <row r="2" customFormat="false" ht="11.1" hidden="false" customHeight="true" outlineLevel="0" collapsed="false">
      <c r="A2" s="346" t="s">
        <v>1109</v>
      </c>
      <c r="B2" s="346"/>
      <c r="C2" s="346"/>
      <c r="D2" s="346"/>
      <c r="E2" s="346"/>
      <c r="F2" s="346"/>
      <c r="G2" s="346"/>
      <c r="H2" s="346"/>
      <c r="I2" s="346"/>
      <c r="J2" s="346"/>
      <c r="K2" s="346"/>
      <c r="L2" s="346"/>
      <c r="M2" s="346"/>
      <c r="N2" s="347" t="s">
        <v>13</v>
      </c>
      <c r="O2" s="347"/>
      <c r="P2" s="347"/>
      <c r="Q2" s="347"/>
      <c r="R2" s="347"/>
      <c r="S2" s="347"/>
      <c r="T2" s="347"/>
      <c r="U2" s="347"/>
      <c r="V2" s="347"/>
      <c r="W2" s="347"/>
      <c r="X2" s="347"/>
      <c r="Y2" s="347"/>
      <c r="Z2" s="347"/>
      <c r="AA2" s="348" t="s">
        <v>1110</v>
      </c>
      <c r="AB2" s="348"/>
      <c r="AC2" s="348"/>
      <c r="AD2" s="348"/>
      <c r="AE2" s="348"/>
      <c r="AF2" s="348"/>
      <c r="AG2" s="348"/>
      <c r="AH2" s="348"/>
      <c r="AI2" s="348"/>
      <c r="AJ2" s="348"/>
      <c r="AK2" s="348"/>
      <c r="AL2" s="348"/>
      <c r="AM2" s="348"/>
    </row>
    <row r="3" customFormat="false" ht="11.1" hidden="false" customHeight="true" outlineLevel="0" collapsed="false">
      <c r="A3" s="349" t="str">
        <f aca="false">" Name: "&amp;Name</f>
        <v>Name: D'hali Dermul</v>
      </c>
      <c r="B3" s="349"/>
      <c r="C3" s="349"/>
      <c r="D3" s="349"/>
      <c r="E3" s="349"/>
      <c r="F3" s="349"/>
      <c r="G3" s="349"/>
      <c r="H3" s="349"/>
      <c r="I3" s="349"/>
      <c r="J3" s="349"/>
      <c r="K3" s="349"/>
      <c r="L3" s="349"/>
      <c r="M3" s="349"/>
      <c r="N3" s="350" t="s">
        <v>1111</v>
      </c>
      <c r="O3" s="350"/>
      <c r="P3" s="350"/>
      <c r="Q3" s="350"/>
      <c r="R3" s="350"/>
      <c r="S3" s="351" t="s">
        <v>158</v>
      </c>
      <c r="T3" s="351"/>
      <c r="U3" s="351" t="s">
        <v>341</v>
      </c>
      <c r="V3" s="351"/>
      <c r="W3" s="351" t="s">
        <v>979</v>
      </c>
      <c r="X3" s="351"/>
      <c r="Y3" s="351"/>
      <c r="Z3" s="352"/>
      <c r="AA3" s="353" t="s">
        <v>1112</v>
      </c>
      <c r="AB3" s="353"/>
      <c r="AC3" s="353"/>
      <c r="AD3" s="353"/>
      <c r="AE3" s="353"/>
      <c r="AF3" s="353"/>
      <c r="AG3" s="353"/>
      <c r="AH3" s="353"/>
      <c r="AI3" s="354" t="e">
        <f aca="false">PD</f>
        <v>#VALUE!</v>
      </c>
      <c r="AJ3" s="354"/>
      <c r="AK3" s="354"/>
      <c r="AL3" s="354"/>
      <c r="AM3" s="355" t="s">
        <v>255</v>
      </c>
    </row>
    <row r="4" customFormat="false" ht="11.1" hidden="false" customHeight="true" outlineLevel="0" collapsed="false">
      <c r="A4" s="349" t="str">
        <f aca="false">" Player: "&amp;Player</f>
        <v>Player: Tars</v>
      </c>
      <c r="B4" s="349"/>
      <c r="C4" s="349"/>
      <c r="D4" s="349"/>
      <c r="E4" s="349"/>
      <c r="F4" s="349"/>
      <c r="G4" s="349"/>
      <c r="H4" s="349"/>
      <c r="I4" s="349"/>
      <c r="J4" s="349"/>
      <c r="K4" s="349"/>
      <c r="L4" s="349"/>
      <c r="M4" s="349"/>
      <c r="N4" s="356"/>
      <c r="O4" s="357" t="s">
        <v>165</v>
      </c>
      <c r="P4" s="357"/>
      <c r="Q4" s="357"/>
      <c r="R4" s="357"/>
      <c r="S4" s="358" t="str">
        <f aca="false">Build!N597</f>
        <v>16</v>
      </c>
      <c r="T4" s="358"/>
      <c r="U4" s="358" t="n">
        <f aca="false">DexStep</f>
        <v>7</v>
      </c>
      <c r="V4" s="358"/>
      <c r="W4" s="358" t="str">
        <f aca="true">OFFSET(ActionDice,DexStep,0)</f>
        <v>d12</v>
      </c>
      <c r="X4" s="358"/>
      <c r="Y4" s="358"/>
      <c r="Z4" s="359"/>
      <c r="AA4" s="353" t="s">
        <v>1113</v>
      </c>
      <c r="AB4" s="353"/>
      <c r="AC4" s="353"/>
      <c r="AD4" s="353"/>
      <c r="AE4" s="353"/>
      <c r="AF4" s="353"/>
      <c r="AG4" s="353"/>
      <c r="AH4" s="353"/>
      <c r="AI4" s="354" t="e">
        <f aca="false">SD</f>
        <v>#VALUE!</v>
      </c>
      <c r="AJ4" s="354"/>
      <c r="AK4" s="354"/>
      <c r="AL4" s="354"/>
      <c r="AM4" s="355" t="s">
        <v>253</v>
      </c>
    </row>
    <row r="5" customFormat="false" ht="11.1" hidden="false" customHeight="true" outlineLevel="0" collapsed="false">
      <c r="A5" s="360" t="str">
        <f aca="false">" Race: "&amp;Race</f>
        <v>Race: Human</v>
      </c>
      <c r="B5" s="360"/>
      <c r="C5" s="360"/>
      <c r="D5" s="360"/>
      <c r="E5" s="360"/>
      <c r="F5" s="360"/>
      <c r="G5" s="361" t="s">
        <v>1114</v>
      </c>
      <c r="H5" s="361"/>
      <c r="I5" s="361"/>
      <c r="J5" s="361"/>
      <c r="K5" s="361"/>
      <c r="L5" s="361"/>
      <c r="M5" s="361"/>
      <c r="N5" s="356"/>
      <c r="O5" s="357" t="s">
        <v>171</v>
      </c>
      <c r="P5" s="357"/>
      <c r="Q5" s="357"/>
      <c r="R5" s="357"/>
      <c r="S5" s="358" t="str">
        <f aca="false">Build!N598</f>
        <v>13</v>
      </c>
      <c r="T5" s="358"/>
      <c r="U5" s="358" t="n">
        <f aca="false">StrStep</f>
        <v>6</v>
      </c>
      <c r="V5" s="358"/>
      <c r="W5" s="358" t="str">
        <f aca="true">OFFSET(ActionDice,StrStep,0)</f>
        <v>d10</v>
      </c>
      <c r="X5" s="358"/>
      <c r="Y5" s="358"/>
      <c r="Z5" s="359"/>
      <c r="AA5" s="353" t="s">
        <v>1115</v>
      </c>
      <c r="AB5" s="353"/>
      <c r="AC5" s="353"/>
      <c r="AD5" s="353"/>
      <c r="AE5" s="353"/>
      <c r="AF5" s="353"/>
      <c r="AG5" s="353"/>
      <c r="AH5" s="353"/>
      <c r="AI5" s="354" t="e">
        <f aca="false">SOD</f>
        <v>#VALUE!</v>
      </c>
      <c r="AJ5" s="354"/>
      <c r="AK5" s="354"/>
      <c r="AL5" s="354"/>
      <c r="AM5" s="355" t="s">
        <v>259</v>
      </c>
    </row>
    <row r="6" customFormat="false" ht="11.1" hidden="false" customHeight="true" outlineLevel="0" collapsed="false">
      <c r="A6" s="360" t="str">
        <f aca="false">" Sex: "&amp;Sex</f>
        <v>Sex: Male</v>
      </c>
      <c r="B6" s="360"/>
      <c r="C6" s="360"/>
      <c r="D6" s="360"/>
      <c r="E6" s="360"/>
      <c r="F6" s="360"/>
      <c r="G6" s="361" t="str">
        <f aca="false">" Age: "&amp;Age&amp;" years"</f>
        <v>Age: 29 years</v>
      </c>
      <c r="H6" s="361"/>
      <c r="I6" s="361"/>
      <c r="J6" s="361"/>
      <c r="K6" s="361"/>
      <c r="L6" s="361"/>
      <c r="M6" s="361"/>
      <c r="N6" s="356"/>
      <c r="O6" s="353" t="s">
        <v>178</v>
      </c>
      <c r="P6" s="353"/>
      <c r="Q6" s="353"/>
      <c r="R6" s="353"/>
      <c r="S6" s="358" t="str">
        <f aca="false">Build!N599</f>
        <v>14</v>
      </c>
      <c r="T6" s="358"/>
      <c r="U6" s="358" t="n">
        <f aca="false">TouStep</f>
        <v>6</v>
      </c>
      <c r="V6" s="358"/>
      <c r="W6" s="358" t="str">
        <f aca="true">OFFSET(ActionDice,TouStep,0)</f>
        <v>d10</v>
      </c>
      <c r="X6" s="358"/>
      <c r="Y6" s="358"/>
      <c r="Z6" s="359"/>
      <c r="AA6" s="353" t="s">
        <v>1116</v>
      </c>
      <c r="AB6" s="353"/>
      <c r="AC6" s="353"/>
      <c r="AD6" s="353"/>
      <c r="AE6" s="353"/>
      <c r="AF6" s="353"/>
      <c r="AG6" s="353"/>
      <c r="AH6" s="353"/>
      <c r="AI6" s="354" t="n">
        <f aca="false">PhysArm</f>
        <v>12</v>
      </c>
      <c r="AJ6" s="354"/>
      <c r="AK6" s="354" t="n">
        <f aca="false">MysArm</f>
        <v>0</v>
      </c>
      <c r="AL6" s="354"/>
      <c r="AM6" s="355" t="s">
        <v>262</v>
      </c>
    </row>
    <row r="7" customFormat="false" ht="11.1" hidden="false" customHeight="true" outlineLevel="0" collapsed="false">
      <c r="A7" s="360" t="str">
        <f aca="false">" Height:"&amp;Height</f>
        <v>Height:169</v>
      </c>
      <c r="B7" s="360"/>
      <c r="C7" s="360"/>
      <c r="D7" s="360"/>
      <c r="E7" s="360"/>
      <c r="F7" s="360"/>
      <c r="G7" s="361" t="str">
        <f aca="false">" Weight: "&amp;Weight&amp;" kg"</f>
        <v>Weight: 70 kg</v>
      </c>
      <c r="H7" s="361"/>
      <c r="I7" s="361"/>
      <c r="J7" s="361"/>
      <c r="K7" s="361"/>
      <c r="L7" s="361"/>
      <c r="M7" s="361"/>
      <c r="N7" s="362" t="s">
        <v>1117</v>
      </c>
      <c r="O7" s="362"/>
      <c r="P7" s="362"/>
      <c r="Q7" s="362"/>
      <c r="R7" s="362"/>
      <c r="S7" s="362"/>
      <c r="T7" s="362"/>
      <c r="U7" s="362"/>
      <c r="V7" s="362"/>
      <c r="W7" s="362"/>
      <c r="X7" s="362"/>
      <c r="Y7" s="362"/>
      <c r="Z7" s="362"/>
      <c r="AA7" s="363"/>
      <c r="AB7" s="363"/>
      <c r="AC7" s="363"/>
      <c r="AD7" s="363"/>
      <c r="AE7" s="363"/>
      <c r="AF7" s="363"/>
      <c r="AG7" s="363"/>
      <c r="AH7" s="363"/>
      <c r="AI7" s="363"/>
      <c r="AJ7" s="363"/>
      <c r="AK7" s="363"/>
      <c r="AL7" s="363"/>
      <c r="AM7" s="363"/>
    </row>
    <row r="8" customFormat="false" ht="11.1" hidden="false" customHeight="true" outlineLevel="0" collapsed="false">
      <c r="A8" s="360" t="str">
        <f aca="false">" Hair: "&amp;Hair</f>
        <v>Hair:</v>
      </c>
      <c r="B8" s="360"/>
      <c r="C8" s="360"/>
      <c r="D8" s="360"/>
      <c r="E8" s="360"/>
      <c r="F8" s="360"/>
      <c r="G8" s="361" t="str">
        <f aca="false">" Eyes: "&amp;Eyes</f>
        <v>Eyes:</v>
      </c>
      <c r="H8" s="361"/>
      <c r="I8" s="361"/>
      <c r="J8" s="361"/>
      <c r="K8" s="361"/>
      <c r="L8" s="361"/>
      <c r="M8" s="361"/>
      <c r="N8" s="356"/>
      <c r="O8" s="357" t="s">
        <v>183</v>
      </c>
      <c r="P8" s="357"/>
      <c r="Q8" s="357"/>
      <c r="R8" s="357"/>
      <c r="S8" s="358" t="str">
        <f aca="false">Build!N600</f>
        <v>17</v>
      </c>
      <c r="T8" s="358"/>
      <c r="U8" s="358" t="n">
        <f aca="false">PerStep</f>
        <v>7</v>
      </c>
      <c r="V8" s="358"/>
      <c r="W8" s="358" t="str">
        <f aca="true">OFFSET(ActionDice,PerStep,0)</f>
        <v>d12</v>
      </c>
      <c r="X8" s="358"/>
      <c r="Y8" s="358"/>
      <c r="Z8" s="352"/>
      <c r="AA8" s="353" t="s">
        <v>1118</v>
      </c>
      <c r="AB8" s="353"/>
      <c r="AC8" s="353"/>
      <c r="AD8" s="353"/>
      <c r="AE8" s="353"/>
      <c r="AF8" s="353"/>
      <c r="AG8" s="353"/>
      <c r="AH8" s="353"/>
      <c r="AI8" s="354" t="n">
        <f aca="false">IF(Race=Windling,VLOOKUP("Windling",Move1,8,0),VLOOKUP(Build!I9,Move1,8,0))</f>
        <v>6</v>
      </c>
      <c r="AJ8" s="354"/>
      <c r="AK8" s="354"/>
      <c r="AL8" s="354"/>
      <c r="AM8" s="355" t="s">
        <v>255</v>
      </c>
    </row>
    <row r="9" customFormat="false" ht="11.1" hidden="false" customHeight="true" outlineLevel="0" collapsed="false">
      <c r="A9" s="364" t="s">
        <v>1119</v>
      </c>
      <c r="B9" s="364"/>
      <c r="C9" s="364"/>
      <c r="D9" s="364"/>
      <c r="E9" s="364"/>
      <c r="F9" s="364"/>
      <c r="G9" s="364"/>
      <c r="H9" s="364"/>
      <c r="I9" s="364"/>
      <c r="J9" s="364"/>
      <c r="K9" s="364"/>
      <c r="L9" s="365" t="s">
        <v>981</v>
      </c>
      <c r="M9" s="365"/>
      <c r="N9" s="356"/>
      <c r="O9" s="353" t="s">
        <v>187</v>
      </c>
      <c r="P9" s="353"/>
      <c r="Q9" s="353"/>
      <c r="R9" s="353"/>
      <c r="S9" s="358" t="str">
        <f aca="false">Build!N601</f>
        <v>10</v>
      </c>
      <c r="T9" s="358"/>
      <c r="U9" s="358" t="n">
        <f aca="false">WilStep</f>
        <v>5</v>
      </c>
      <c r="V9" s="358"/>
      <c r="W9" s="358" t="str">
        <f aca="true">OFFSET(ActionDice,WilStep,0)</f>
        <v>d8</v>
      </c>
      <c r="X9" s="358"/>
      <c r="Y9" s="358"/>
      <c r="Z9" s="359"/>
      <c r="AA9" s="353" t="s">
        <v>1120</v>
      </c>
      <c r="AB9" s="353"/>
      <c r="AC9" s="353"/>
      <c r="AD9" s="353"/>
      <c r="AE9" s="353"/>
      <c r="AF9" s="353"/>
      <c r="AG9" s="353"/>
      <c r="AH9" s="353"/>
      <c r="AI9" s="354" t="n">
        <f aca="false">AI8*2</f>
        <v>12</v>
      </c>
      <c r="AJ9" s="354"/>
      <c r="AK9" s="354"/>
      <c r="AL9" s="354"/>
      <c r="AM9" s="355" t="s">
        <v>255</v>
      </c>
    </row>
    <row r="10" customFormat="false" ht="11.1" hidden="false" customHeight="true" outlineLevel="0" collapsed="false">
      <c r="A10" s="360" t="str">
        <f aca="false">" "&amp;Build!V7</f>
        <v>Scout_Infiltrator</v>
      </c>
      <c r="B10" s="360"/>
      <c r="C10" s="360"/>
      <c r="D10" s="360"/>
      <c r="E10" s="360"/>
      <c r="F10" s="360"/>
      <c r="G10" s="360"/>
      <c r="H10" s="360"/>
      <c r="I10" s="360"/>
      <c r="J10" s="360"/>
      <c r="K10" s="360"/>
      <c r="L10" s="366" t="n">
        <f aca="false">Build!V8</f>
        <v>7</v>
      </c>
      <c r="M10" s="366"/>
      <c r="N10" s="356"/>
      <c r="O10" s="353" t="s">
        <v>191</v>
      </c>
      <c r="P10" s="353"/>
      <c r="Q10" s="353"/>
      <c r="R10" s="353"/>
      <c r="S10" s="367" t="str">
        <f aca="false">Build!N602</f>
        <v>13</v>
      </c>
      <c r="T10" s="367"/>
      <c r="U10" s="367" t="n">
        <f aca="false">ChaStep</f>
        <v>6</v>
      </c>
      <c r="V10" s="367"/>
      <c r="W10" s="367" t="str">
        <f aca="true">OFFSET(ActionDice,ChaStep,0)</f>
        <v>d10</v>
      </c>
      <c r="X10" s="367"/>
      <c r="Y10" s="367"/>
      <c r="Z10" s="359"/>
      <c r="AA10" s="355"/>
      <c r="AB10" s="355"/>
      <c r="AC10" s="355"/>
      <c r="AD10" s="355"/>
      <c r="AE10" s="355"/>
      <c r="AF10" s="355"/>
      <c r="AG10" s="355"/>
      <c r="AH10" s="355"/>
      <c r="AI10" s="355"/>
      <c r="AJ10" s="355"/>
      <c r="AK10" s="355"/>
      <c r="AL10" s="355"/>
      <c r="AM10" s="355"/>
    </row>
    <row r="11" customFormat="false" ht="11.1" hidden="false" customHeight="true" outlineLevel="0" collapsed="false">
      <c r="A11" s="360" t="str">
        <f aca="false">" "&amp;IF(Build!V9=""," ",Build!V9)</f>
        <v>Thief</v>
      </c>
      <c r="B11" s="360"/>
      <c r="C11" s="360"/>
      <c r="D11" s="360"/>
      <c r="E11" s="360"/>
      <c r="F11" s="360"/>
      <c r="G11" s="360"/>
      <c r="H11" s="360"/>
      <c r="I11" s="360"/>
      <c r="J11" s="360"/>
      <c r="K11" s="360"/>
      <c r="L11" s="366" t="n">
        <f aca="false">IF(Build!V10=""," ",Build!V10)</f>
        <v>0</v>
      </c>
      <c r="M11" s="366"/>
      <c r="N11" s="368" t="str">
        <f aca="false">"Special Abilities: "&amp;Build!AE611&amp;Build!AE612&amp;Build!AE613</f>
        <v>Special Abilities: Enhance Senses, Special Karma Spend Ability. Use Karma on  Dexterity, Perception.</v>
      </c>
      <c r="O11" s="368"/>
      <c r="P11" s="368"/>
      <c r="Q11" s="368"/>
      <c r="R11" s="368"/>
      <c r="S11" s="368"/>
      <c r="T11" s="368"/>
      <c r="U11" s="368"/>
      <c r="V11" s="368"/>
      <c r="W11" s="368"/>
      <c r="X11" s="368"/>
      <c r="Y11" s="368"/>
      <c r="Z11" s="368"/>
      <c r="AA11" s="353" t="s">
        <v>1121</v>
      </c>
      <c r="AB11" s="353"/>
      <c r="AC11" s="353"/>
      <c r="AD11" s="353"/>
      <c r="AE11" s="353"/>
      <c r="AF11" s="353"/>
      <c r="AG11" s="353"/>
      <c r="AH11" s="353"/>
      <c r="AI11" s="354" t="n">
        <f aca="true">OFFSET(AttribCarry,Strength,0)</f>
        <v>110</v>
      </c>
      <c r="AJ11" s="354"/>
      <c r="AK11" s="354" t="n">
        <f aca="true">OFFSET(AttribLift,Strength,0)</f>
        <v>220</v>
      </c>
      <c r="AL11" s="354"/>
      <c r="AM11" s="355" t="s">
        <v>270</v>
      </c>
    </row>
    <row r="12" customFormat="false" ht="11.1" hidden="false" customHeight="true" outlineLevel="0" collapsed="false">
      <c r="A12" s="360"/>
      <c r="B12" s="360"/>
      <c r="C12" s="360"/>
      <c r="D12" s="360"/>
      <c r="E12" s="360"/>
      <c r="F12" s="360"/>
      <c r="G12" s="360"/>
      <c r="H12" s="360"/>
      <c r="I12" s="360"/>
      <c r="J12" s="360"/>
      <c r="K12" s="360"/>
      <c r="L12" s="366"/>
      <c r="M12" s="366"/>
      <c r="N12" s="368"/>
      <c r="O12" s="368"/>
      <c r="P12" s="368"/>
      <c r="Q12" s="368"/>
      <c r="R12" s="368"/>
      <c r="S12" s="368"/>
      <c r="T12" s="368"/>
      <c r="U12" s="368"/>
      <c r="V12" s="368"/>
      <c r="W12" s="368"/>
      <c r="X12" s="368"/>
      <c r="Y12" s="368"/>
      <c r="Z12" s="368"/>
      <c r="AA12" s="369"/>
      <c r="AB12" s="369"/>
      <c r="AC12" s="369"/>
      <c r="AD12" s="369"/>
      <c r="AE12" s="369"/>
      <c r="AF12" s="369"/>
      <c r="AG12" s="370" t="s">
        <v>230</v>
      </c>
      <c r="AH12" s="370" t="s">
        <v>1122</v>
      </c>
      <c r="AI12" s="370" t="s">
        <v>341</v>
      </c>
      <c r="AJ12" s="371" t="s">
        <v>979</v>
      </c>
      <c r="AK12" s="371"/>
      <c r="AL12" s="371"/>
      <c r="AM12" s="355"/>
    </row>
    <row r="13" customFormat="false" ht="11.1" hidden="false" customHeight="true" outlineLevel="0" collapsed="false">
      <c r="A13" s="360"/>
      <c r="B13" s="360"/>
      <c r="C13" s="360"/>
      <c r="D13" s="360"/>
      <c r="E13" s="360"/>
      <c r="F13" s="360"/>
      <c r="G13" s="360"/>
      <c r="H13" s="360"/>
      <c r="I13" s="360"/>
      <c r="J13" s="360"/>
      <c r="K13" s="360"/>
      <c r="L13" s="366"/>
      <c r="M13" s="366"/>
      <c r="N13" s="368"/>
      <c r="O13" s="368"/>
      <c r="P13" s="368"/>
      <c r="Q13" s="368"/>
      <c r="R13" s="368"/>
      <c r="S13" s="368"/>
      <c r="T13" s="368"/>
      <c r="U13" s="368"/>
      <c r="V13" s="368"/>
      <c r="W13" s="368"/>
      <c r="X13" s="368"/>
      <c r="Y13" s="368"/>
      <c r="Z13" s="368"/>
      <c r="AA13" s="372" t="s">
        <v>1123</v>
      </c>
      <c r="AB13" s="372"/>
      <c r="AC13" s="372"/>
      <c r="AD13" s="372"/>
      <c r="AE13" s="372"/>
      <c r="AF13" s="372"/>
      <c r="AG13" s="354" t="e">
        <f aca="false">INIT</f>
        <v>#VALUE!</v>
      </c>
      <c r="AH13" s="354" t="n">
        <f aca="false">-SUM(Back!AK10:AK13)</f>
        <v>-1</v>
      </c>
      <c r="AI13" s="354" t="e">
        <f aca="false">AG13+AH13</f>
        <v>#VALUE!</v>
      </c>
      <c r="AJ13" s="354" t="e">
        <f aca="true">OFFSET(ActionDice,AI13,0)</f>
        <v>#VALUE!</v>
      </c>
      <c r="AK13" s="354"/>
      <c r="AL13" s="354"/>
      <c r="AM13" s="355" t="s">
        <v>255</v>
      </c>
    </row>
    <row r="14" customFormat="false" ht="11.1" hidden="false" customHeight="true" outlineLevel="0" collapsed="false">
      <c r="A14" s="373" t="s">
        <v>590</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row>
    <row r="15" customFormat="false" ht="11.1" hidden="false" customHeight="true" outlineLevel="0" collapsed="false">
      <c r="A15" s="374" t="s">
        <v>1124</v>
      </c>
      <c r="B15" s="374"/>
      <c r="C15" s="374"/>
      <c r="D15" s="374"/>
      <c r="E15" s="374"/>
      <c r="F15" s="374"/>
      <c r="G15" s="374"/>
      <c r="H15" s="375" t="str">
        <f aca="false">" Maximum: "&amp;VLOOKUP(Build!I9,Karma1,5,0)&amp;" (   40  ) "</f>
        <v>Maximum: Karma Ritual Rank x 5 (   40  )</v>
      </c>
      <c r="I15" s="375"/>
      <c r="J15" s="375"/>
      <c r="K15" s="375"/>
      <c r="L15" s="375"/>
      <c r="M15" s="375"/>
      <c r="N15" s="375"/>
      <c r="O15" s="375"/>
      <c r="P15" s="375"/>
      <c r="Q15" s="375"/>
      <c r="R15" s="375"/>
      <c r="S15" s="375"/>
      <c r="T15" s="375"/>
      <c r="U15" s="376" t="str">
        <f aca="false">" Cost: "&amp;RaceKarmaCost</f>
        <v> Cost: 10</v>
      </c>
      <c r="V15" s="376"/>
      <c r="W15" s="376"/>
      <c r="X15" s="376"/>
      <c r="Y15" s="376"/>
      <c r="Z15" s="376"/>
      <c r="AA15" s="376"/>
      <c r="AB15" s="376"/>
      <c r="AC15" s="376"/>
      <c r="AD15" s="377" t="str">
        <f aca="false">" Karma Dice: "&amp;IF(Build!N612&lt;=1,RaceKarmaDie,Build!O612)</f>
        <v> Karma Dice: d6</v>
      </c>
      <c r="AE15" s="377"/>
      <c r="AF15" s="377"/>
      <c r="AG15" s="377"/>
      <c r="AH15" s="377"/>
      <c r="AI15" s="377"/>
      <c r="AJ15" s="377"/>
      <c r="AK15" s="377"/>
      <c r="AL15" s="377"/>
      <c r="AM15" s="377"/>
    </row>
    <row r="16" customFormat="false" ht="11.1" hidden="false" customHeight="true" outlineLevel="0" collapsed="false">
      <c r="A16" s="346" t="s">
        <v>1125</v>
      </c>
      <c r="B16" s="346"/>
      <c r="C16" s="346"/>
      <c r="D16" s="346"/>
      <c r="E16" s="346"/>
      <c r="F16" s="346"/>
      <c r="G16" s="346"/>
      <c r="H16" s="378" t="s">
        <v>1126</v>
      </c>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row>
    <row r="17" customFormat="false" ht="11.1" hidden="false" customHeight="true" outlineLevel="0" collapsed="false">
      <c r="A17" s="379" t="n">
        <v>1</v>
      </c>
      <c r="B17" s="379"/>
      <c r="C17" s="361" t="str">
        <f aca="false">Tables!C6</f>
        <v>d6-3</v>
      </c>
      <c r="D17" s="361"/>
      <c r="E17" s="361"/>
      <c r="F17" s="361"/>
      <c r="G17" s="361"/>
      <c r="H17" s="380"/>
      <c r="I17" s="380"/>
      <c r="J17" s="380"/>
      <c r="K17" s="380"/>
      <c r="L17" s="380"/>
      <c r="M17" s="380"/>
      <c r="N17" s="380"/>
      <c r="O17" s="380"/>
      <c r="P17" s="380"/>
      <c r="Q17" s="380"/>
      <c r="R17" s="380"/>
      <c r="S17" s="380"/>
      <c r="T17" s="381" t="s">
        <v>196</v>
      </c>
      <c r="U17" s="381"/>
      <c r="V17" s="381"/>
      <c r="W17" s="381" t="s">
        <v>230</v>
      </c>
      <c r="X17" s="381"/>
      <c r="Y17" s="381"/>
      <c r="Z17" s="381" t="s">
        <v>341</v>
      </c>
      <c r="AA17" s="381"/>
      <c r="AB17" s="381" t="s">
        <v>979</v>
      </c>
      <c r="AC17" s="381"/>
      <c r="AD17" s="381"/>
      <c r="AE17" s="381"/>
      <c r="AF17" s="381"/>
      <c r="AG17" s="381"/>
      <c r="AH17" s="381" t="s">
        <v>590</v>
      </c>
      <c r="AI17" s="381"/>
      <c r="AJ17" s="381" t="s">
        <v>1068</v>
      </c>
      <c r="AK17" s="381"/>
      <c r="AL17" s="382" t="s">
        <v>1127</v>
      </c>
      <c r="AM17" s="382"/>
    </row>
    <row r="18" customFormat="false" ht="11.1" hidden="false" customHeight="true" outlineLevel="0" collapsed="false">
      <c r="A18" s="379" t="n">
        <v>2</v>
      </c>
      <c r="B18" s="379"/>
      <c r="C18" s="361" t="str">
        <f aca="false">Tables!C7</f>
        <v>d6-2</v>
      </c>
      <c r="D18" s="361"/>
      <c r="E18" s="361"/>
      <c r="F18" s="361"/>
      <c r="G18" s="361"/>
      <c r="H18" s="383" t="str">
        <f aca="true">IF(Build!P617,OFFSET(Build!D$615,Build!P617,0),"")</f>
        <v>Climbing</v>
      </c>
      <c r="I18" s="383"/>
      <c r="J18" s="383"/>
      <c r="K18" s="383"/>
      <c r="L18" s="383"/>
      <c r="M18" s="383"/>
      <c r="N18" s="383"/>
      <c r="O18" s="383"/>
      <c r="P18" s="383"/>
      <c r="Q18" s="383"/>
      <c r="R18" s="383"/>
      <c r="S18" s="383"/>
      <c r="T18" s="358" t="str">
        <f aca="true">IF(H18="","",TEXT(0,OFFSET(Build!E$615,Build!P617,0))&amp;IF(OFFSET(Build!I$615,Build!P617, 0)&gt;0,"+"&amp;OFFSET(Build!I$615,Build!P617,0),""))</f>
        <v>5</v>
      </c>
      <c r="U18" s="358"/>
      <c r="V18" s="358"/>
      <c r="W18" s="358" t="str">
        <f aca="true">IF(H18=""," ",IF(OFFSET(Build!H$615,Build!P617,0)=" ","n/a","R+")&amp;OFFSET(Build!H$615,Build!P617,0))</f>
        <v>R+D</v>
      </c>
      <c r="X18" s="358"/>
      <c r="Y18" s="358"/>
      <c r="Z18" s="358" t="n">
        <f aca="true">IF(H18=""," ",IF(OFFSET(Build!J$615,Build!P617,0)=" ","-",OFFSET(Build!J$615,Build!P617,0)))</f>
        <v>12</v>
      </c>
      <c r="AA18" s="358"/>
      <c r="AB18" s="358" t="str">
        <f aca="true">IF(H18="","",OFFSET(Build!K$615,Build!P617,0))</f>
        <v>2d10</v>
      </c>
      <c r="AC18" s="358"/>
      <c r="AD18" s="358"/>
      <c r="AE18" s="358"/>
      <c r="AF18" s="358"/>
      <c r="AG18" s="358"/>
      <c r="AH18" s="358" t="str">
        <f aca="true">IF(H18="","",MID(OFFSET(Build!M$615,Build!P617,0),1,1))</f>
        <v>D</v>
      </c>
      <c r="AI18" s="358"/>
      <c r="AJ18" s="358" t="str">
        <f aca="true">IF(H18="","",MID(OFFSET(Build!M$615,Build!P617,0),5,1))</f>
        <v>-</v>
      </c>
      <c r="AK18" s="358"/>
      <c r="AL18" s="384" t="str">
        <f aca="true">IF(H18="","",MID(OFFSET(Build!M$615,Build!P617,0),3,1))</f>
        <v>A</v>
      </c>
      <c r="AM18" s="384"/>
    </row>
    <row r="19" customFormat="false" ht="11.1" hidden="false" customHeight="true" outlineLevel="0" collapsed="false">
      <c r="A19" s="379" t="n">
        <v>3</v>
      </c>
      <c r="B19" s="379"/>
      <c r="C19" s="361" t="str">
        <f aca="false">Tables!C8</f>
        <v>d6-1</v>
      </c>
      <c r="D19" s="361"/>
      <c r="E19" s="361"/>
      <c r="F19" s="361"/>
      <c r="G19" s="361"/>
      <c r="H19" s="383" t="str">
        <f aca="true">IF(Build!P618,OFFSET(Build!D$615,Build!P618,0),"")</f>
        <v>Karma Ritual</v>
      </c>
      <c r="I19" s="383"/>
      <c r="J19" s="383"/>
      <c r="K19" s="383"/>
      <c r="L19" s="383"/>
      <c r="M19" s="383"/>
      <c r="N19" s="383"/>
      <c r="O19" s="383"/>
      <c r="P19" s="383"/>
      <c r="Q19" s="383"/>
      <c r="R19" s="383"/>
      <c r="S19" s="383"/>
      <c r="T19" s="358" t="str">
        <f aca="true">IF(H19="","",TEXT(0,OFFSET(Build!E$615,Build!P618,0))&amp;IF(OFFSET(Build!I$615,Build!P618, 0)&gt;0,"+"&amp;OFFSET(Build!I$615,Build!P618,0),""))</f>
        <v>7</v>
      </c>
      <c r="U19" s="358"/>
      <c r="V19" s="358"/>
      <c r="W19" s="358" t="str">
        <f aca="true">IF(H19=""," ",IF(OFFSET(Build!H$615,Build!P618,0)=" ","n/a","R+")&amp;OFFSET(Build!H$615,Build!P618,0))</f>
        <v>n/a </v>
      </c>
      <c r="X19" s="358"/>
      <c r="Y19" s="358"/>
      <c r="Z19" s="358" t="str">
        <f aca="true">IF(H19=""," ",IF(OFFSET(Build!J$615,Build!P618,0)=" ","-",OFFSET(Build!J$615,Build!P618,0)))</f>
        <v>-</v>
      </c>
      <c r="AA19" s="358"/>
      <c r="AB19" s="358" t="str">
        <f aca="true">IF(H19="","",OFFSET(Build!K$615,Build!P618,0))</f>
        <v>-</v>
      </c>
      <c r="AC19" s="358"/>
      <c r="AD19" s="358"/>
      <c r="AE19" s="358"/>
      <c r="AF19" s="358"/>
      <c r="AG19" s="358"/>
      <c r="AH19" s="358" t="str">
        <f aca="true">IF(H19="","",MID(OFFSET(Build!M$615,Build!P618,0),1,1))</f>
        <v>-</v>
      </c>
      <c r="AI19" s="358"/>
      <c r="AJ19" s="358" t="str">
        <f aca="true">IF(H19="","",MID(OFFSET(Build!M$615,Build!P618,0),5,1))</f>
        <v>-</v>
      </c>
      <c r="AK19" s="358"/>
      <c r="AL19" s="384" t="str">
        <f aca="true">IF(H19="","",MID(OFFSET(Build!M$615,Build!P618,0),3,1))</f>
        <v>-</v>
      </c>
      <c r="AM19" s="384"/>
    </row>
    <row r="20" customFormat="false" ht="11.1" hidden="false" customHeight="true" outlineLevel="0" collapsed="false">
      <c r="A20" s="379" t="n">
        <v>4</v>
      </c>
      <c r="B20" s="379"/>
      <c r="C20" s="361" t="str">
        <f aca="false">Tables!C9</f>
        <v>d6</v>
      </c>
      <c r="D20" s="361"/>
      <c r="E20" s="361"/>
      <c r="F20" s="361"/>
      <c r="G20" s="361"/>
      <c r="H20" s="383" t="str">
        <f aca="true">IF(Build!P619,OFFSET(Build!D$615,Build!P619,0),"")</f>
        <v>Search</v>
      </c>
      <c r="I20" s="383"/>
      <c r="J20" s="383"/>
      <c r="K20" s="383"/>
      <c r="L20" s="383"/>
      <c r="M20" s="383"/>
      <c r="N20" s="383"/>
      <c r="O20" s="383"/>
      <c r="P20" s="383"/>
      <c r="Q20" s="383"/>
      <c r="R20" s="383"/>
      <c r="S20" s="383"/>
      <c r="T20" s="358" t="str">
        <f aca="true">IF(H20="","",TEXT(0,OFFSET(Build!E$615,Build!P619,0))&amp;IF(OFFSET(Build!I$615,Build!P619, 0)&gt;0,"+"&amp;OFFSET(Build!I$615,Build!P619,0),""))</f>
        <v>8</v>
      </c>
      <c r="U20" s="358"/>
      <c r="V20" s="358"/>
      <c r="W20" s="358" t="str">
        <f aca="true">IF(H20=""," ",IF(OFFSET(Build!H$615,Build!P619,0)=" ","n/a","R+")&amp;OFFSET(Build!H$615,Build!P619,0))</f>
        <v>R+P</v>
      </c>
      <c r="X20" s="358"/>
      <c r="Y20" s="358"/>
      <c r="Z20" s="358" t="n">
        <f aca="true">IF(H20=""," ",IF(OFFSET(Build!J$615,Build!P619,0)=" ","-",OFFSET(Build!J$615,Build!P619,0)))</f>
        <v>15</v>
      </c>
      <c r="AA20" s="358"/>
      <c r="AB20" s="358" t="str">
        <f aca="true">IF(H20="","",OFFSET(Build!K$615,Build!P619,0))</f>
        <v>d12 +2d6</v>
      </c>
      <c r="AC20" s="358"/>
      <c r="AD20" s="358"/>
      <c r="AE20" s="358"/>
      <c r="AF20" s="358"/>
      <c r="AG20" s="358"/>
      <c r="AH20" s="358" t="str">
        <f aca="true">IF(H20="","",MID(OFFSET(Build!M$615,Build!P619,0),1,1))</f>
        <v>D</v>
      </c>
      <c r="AI20" s="358"/>
      <c r="AJ20" s="358" t="str">
        <f aca="true">IF(H20="","",MID(OFFSET(Build!M$615,Build!P619,0),5,1))</f>
        <v>1</v>
      </c>
      <c r="AK20" s="358"/>
      <c r="AL20" s="384" t="str">
        <f aca="true">IF(H20="","",MID(OFFSET(Build!M$615,Build!P619,0),3,1))</f>
        <v>A</v>
      </c>
      <c r="AM20" s="384"/>
    </row>
    <row r="21" customFormat="false" ht="11.1" hidden="false" customHeight="true" outlineLevel="0" collapsed="false">
      <c r="A21" s="379" t="n">
        <v>5</v>
      </c>
      <c r="B21" s="379"/>
      <c r="C21" s="361" t="str">
        <f aca="false">Tables!C10</f>
        <v>d8</v>
      </c>
      <c r="D21" s="361"/>
      <c r="E21" s="361"/>
      <c r="F21" s="361"/>
      <c r="G21" s="361"/>
      <c r="H21" s="383" t="str">
        <f aca="true">IF(Build!P620,OFFSET(Build!D$615,Build!P620,0),"")</f>
        <v>Silent Walk</v>
      </c>
      <c r="I21" s="383"/>
      <c r="J21" s="383"/>
      <c r="K21" s="383"/>
      <c r="L21" s="383"/>
      <c r="M21" s="383"/>
      <c r="N21" s="383"/>
      <c r="O21" s="383"/>
      <c r="P21" s="383"/>
      <c r="Q21" s="383"/>
      <c r="R21" s="383"/>
      <c r="S21" s="383"/>
      <c r="T21" s="358" t="str">
        <f aca="true">IF(H21="","",TEXT(0,OFFSET(Build!E$615,Build!P620,0))&amp;IF(OFFSET(Build!I$615,Build!P620, 0)&gt;0,"+"&amp;OFFSET(Build!I$615,Build!P620,0),""))</f>
        <v>8</v>
      </c>
      <c r="U21" s="358"/>
      <c r="V21" s="358"/>
      <c r="W21" s="358" t="str">
        <f aca="true">IF(H21=""," ",IF(OFFSET(Build!H$615,Build!P620,0)=" ","n/a","R+")&amp;OFFSET(Build!H$615,Build!P620,0))</f>
        <v>R+D</v>
      </c>
      <c r="X21" s="358"/>
      <c r="Y21" s="358"/>
      <c r="Z21" s="358" t="n">
        <f aca="true">IF(H21=""," ",IF(OFFSET(Build!J$615,Build!P620,0)=" ","-",OFFSET(Build!J$615,Build!P620,0)))</f>
        <v>15</v>
      </c>
      <c r="AA21" s="358"/>
      <c r="AB21" s="358" t="str">
        <f aca="true">IF(H21="","",OFFSET(Build!K$615,Build!P620,0))</f>
        <v>d12 +2d6</v>
      </c>
      <c r="AC21" s="358"/>
      <c r="AD21" s="358"/>
      <c r="AE21" s="358"/>
      <c r="AF21" s="358"/>
      <c r="AG21" s="358"/>
      <c r="AH21" s="358" t="str">
        <f aca="true">IF(H21="","",MID(OFFSET(Build!M$615,Build!P620,0),1,1))</f>
        <v>D</v>
      </c>
      <c r="AI21" s="358"/>
      <c r="AJ21" s="358" t="str">
        <f aca="true">IF(H21="","",MID(OFFSET(Build!M$615,Build!P620,0),5,1))</f>
        <v>-</v>
      </c>
      <c r="AK21" s="358"/>
      <c r="AL21" s="384" t="str">
        <f aca="true">IF(H21="","",MID(OFFSET(Build!M$615,Build!P620,0),3,1))</f>
        <v>S</v>
      </c>
      <c r="AM21" s="384"/>
    </row>
    <row r="22" customFormat="false" ht="11.1" hidden="false" customHeight="true" outlineLevel="0" collapsed="false">
      <c r="A22" s="379" t="n">
        <v>6</v>
      </c>
      <c r="B22" s="379"/>
      <c r="C22" s="361" t="str">
        <f aca="false">Tables!C11</f>
        <v>d10</v>
      </c>
      <c r="D22" s="361"/>
      <c r="E22" s="361"/>
      <c r="F22" s="361"/>
      <c r="G22" s="361"/>
      <c r="H22" s="383" t="str">
        <f aca="true">IF(Build!P621,OFFSET(Build!D$615,Build!P621,0),"")</f>
        <v>Tracking</v>
      </c>
      <c r="I22" s="383"/>
      <c r="J22" s="383"/>
      <c r="K22" s="383"/>
      <c r="L22" s="383"/>
      <c r="M22" s="383"/>
      <c r="N22" s="383"/>
      <c r="O22" s="383"/>
      <c r="P22" s="383"/>
      <c r="Q22" s="383"/>
      <c r="R22" s="383"/>
      <c r="S22" s="383"/>
      <c r="T22" s="358" t="str">
        <f aca="true">IF(H22="","",TEXT(0,OFFSET(Build!E$615,Build!P621,0))&amp;IF(OFFSET(Build!I$615,Build!P621, 0)&gt;0,"+"&amp;OFFSET(Build!I$615,Build!P621,0),""))</f>
        <v>8</v>
      </c>
      <c r="U22" s="358"/>
      <c r="V22" s="358"/>
      <c r="W22" s="358" t="str">
        <f aca="true">IF(H22=""," ",IF(OFFSET(Build!H$615,Build!P621,0)=" ","n/a","R+")&amp;OFFSET(Build!H$615,Build!P621,0))</f>
        <v>R+P</v>
      </c>
      <c r="X22" s="358"/>
      <c r="Y22" s="358"/>
      <c r="Z22" s="358" t="n">
        <f aca="true">IF(H22=""," ",IF(OFFSET(Build!J$615,Build!P621,0)=" ","-",OFFSET(Build!J$615,Build!P621,0)))</f>
        <v>15</v>
      </c>
      <c r="AA22" s="358"/>
      <c r="AB22" s="358" t="str">
        <f aca="true">IF(H22="","",OFFSET(Build!K$615,Build!P621,0))</f>
        <v>d12 +2d6</v>
      </c>
      <c r="AC22" s="358"/>
      <c r="AD22" s="358"/>
      <c r="AE22" s="358"/>
      <c r="AF22" s="358"/>
      <c r="AG22" s="358"/>
      <c r="AH22" s="358" t="str">
        <f aca="true">IF(H22="","",MID(OFFSET(Build!M$615,Build!P621,0),1,1))</f>
        <v>D</v>
      </c>
      <c r="AI22" s="358"/>
      <c r="AJ22" s="358" t="str">
        <f aca="true">IF(H22="","",MID(OFFSET(Build!M$615,Build!P621,0),5,1))</f>
        <v>1</v>
      </c>
      <c r="AK22" s="358"/>
      <c r="AL22" s="384" t="str">
        <f aca="true">IF(H22="","",MID(OFFSET(Build!M$615,Build!P621,0),3,1))</f>
        <v>A</v>
      </c>
      <c r="AM22" s="384"/>
    </row>
    <row r="23" customFormat="false" ht="11.1" hidden="false" customHeight="true" outlineLevel="0" collapsed="false">
      <c r="A23" s="379" t="n">
        <v>7</v>
      </c>
      <c r="B23" s="379"/>
      <c r="C23" s="361" t="str">
        <f aca="false">Tables!C12</f>
        <v>d12</v>
      </c>
      <c r="D23" s="361"/>
      <c r="E23" s="361"/>
      <c r="F23" s="361"/>
      <c r="G23" s="361"/>
      <c r="H23" s="383" t="str">
        <f aca="true">IF(Build!P622,OFFSET(Build!D$615,Build!P622,0),"")</f>
        <v>Melee Weapons</v>
      </c>
      <c r="I23" s="383"/>
      <c r="J23" s="383"/>
      <c r="K23" s="383"/>
      <c r="L23" s="383"/>
      <c r="M23" s="383"/>
      <c r="N23" s="383"/>
      <c r="O23" s="383"/>
      <c r="P23" s="383"/>
      <c r="Q23" s="383"/>
      <c r="R23" s="383"/>
      <c r="S23" s="383"/>
      <c r="T23" s="358" t="str">
        <f aca="true">IF(H23="","",TEXT(0,OFFSET(Build!E$615,Build!P622,0))&amp;IF(OFFSET(Build!I$615,Build!P622, 0)&gt;0,"+"&amp;OFFSET(Build!I$615,Build!P622,0),""))</f>
        <v>8</v>
      </c>
      <c r="U23" s="358"/>
      <c r="V23" s="358"/>
      <c r="W23" s="358" t="str">
        <f aca="true">IF(H23=""," ",IF(OFFSET(Build!H$615,Build!P622,0)=" ","n/a","R+")&amp;OFFSET(Build!H$615,Build!P622,0))</f>
        <v>R+D</v>
      </c>
      <c r="X23" s="358"/>
      <c r="Y23" s="358"/>
      <c r="Z23" s="358" t="n">
        <f aca="true">IF(H23=""," ",IF(OFFSET(Build!J$615,Build!P622,0)=" ","-",OFFSET(Build!J$615,Build!P622,0)))</f>
        <v>15</v>
      </c>
      <c r="AA23" s="358"/>
      <c r="AB23" s="358" t="str">
        <f aca="true">IF(H23="","",OFFSET(Build!K$615,Build!P622,0))</f>
        <v>d12 +2d6</v>
      </c>
      <c r="AC23" s="358"/>
      <c r="AD23" s="358"/>
      <c r="AE23" s="358"/>
      <c r="AF23" s="358"/>
      <c r="AG23" s="358"/>
      <c r="AH23" s="358" t="str">
        <f aca="true">IF(H23="","",MID(OFFSET(Build!M$615,Build!P622,0),1,1))</f>
        <v>-</v>
      </c>
      <c r="AI23" s="358"/>
      <c r="AJ23" s="358" t="str">
        <f aca="true">IF(H23="","",MID(OFFSET(Build!M$615,Build!P622,0),5,1))</f>
        <v>-</v>
      </c>
      <c r="AK23" s="358"/>
      <c r="AL23" s="384" t="str">
        <f aca="true">IF(H23="","",MID(OFFSET(Build!M$615,Build!P622,0),3,1))</f>
        <v>A</v>
      </c>
      <c r="AM23" s="384"/>
    </row>
    <row r="24" customFormat="false" ht="11.1" hidden="false" customHeight="true" outlineLevel="0" collapsed="false">
      <c r="A24" s="379" t="n">
        <v>8</v>
      </c>
      <c r="B24" s="379"/>
      <c r="C24" s="361" t="str">
        <f aca="false">Tables!C13</f>
        <v>2d6</v>
      </c>
      <c r="D24" s="361"/>
      <c r="E24" s="361"/>
      <c r="F24" s="361"/>
      <c r="G24" s="361"/>
      <c r="H24" s="383" t="str">
        <f aca="true">IF(Build!P623,OFFSET(Build!D$615,Build!P623,0),"")</f>
        <v>Speak Language</v>
      </c>
      <c r="I24" s="383"/>
      <c r="J24" s="383"/>
      <c r="K24" s="383"/>
      <c r="L24" s="383"/>
      <c r="M24" s="383"/>
      <c r="N24" s="383"/>
      <c r="O24" s="383"/>
      <c r="P24" s="383"/>
      <c r="Q24" s="383"/>
      <c r="R24" s="383"/>
      <c r="S24" s="383"/>
      <c r="T24" s="358" t="str">
        <f aca="true">IF(H24="","",TEXT(0,OFFSET(Build!E$615,Build!P623,0))&amp;IF(OFFSET(Build!I$615,Build!P623, 0)&gt;0,"+"&amp;OFFSET(Build!I$615,Build!P623,0),""))</f>
        <v>4</v>
      </c>
      <c r="U24" s="358"/>
      <c r="V24" s="358"/>
      <c r="W24" s="358" t="str">
        <f aca="true">IF(H24=""," ",IF(OFFSET(Build!H$615,Build!P623,0)=" ","n/a","R+")&amp;OFFSET(Build!H$615,Build!P623,0))</f>
        <v>R+P</v>
      </c>
      <c r="X24" s="358"/>
      <c r="Y24" s="358"/>
      <c r="Z24" s="358" t="n">
        <f aca="true">IF(H24=""," ",IF(OFFSET(Build!J$615,Build!P623,0)=" ","-",OFFSET(Build!J$615,Build!P623,0)))</f>
        <v>11</v>
      </c>
      <c r="AA24" s="358"/>
      <c r="AB24" s="358" t="str">
        <f aca="true">IF(H24="","",OFFSET(Build!K$615,Build!P623,0))</f>
        <v>d10 + d8</v>
      </c>
      <c r="AC24" s="358"/>
      <c r="AD24" s="358"/>
      <c r="AE24" s="358"/>
      <c r="AF24" s="358"/>
      <c r="AG24" s="358"/>
      <c r="AH24" s="358" t="str">
        <f aca="true">IF(H24="","",MID(OFFSET(Build!M$615,Build!P623,0),1,1))</f>
        <v>D</v>
      </c>
      <c r="AI24" s="358"/>
      <c r="AJ24" s="358" t="str">
        <f aca="true">IF(H24="","",MID(OFFSET(Build!M$615,Build!P623,0),5,1))</f>
        <v>*</v>
      </c>
      <c r="AK24" s="358"/>
      <c r="AL24" s="384" t="str">
        <f aca="true">IF(H24="","",MID(OFFSET(Build!M$615,Build!P623,0),3,1))</f>
        <v>A</v>
      </c>
      <c r="AM24" s="384"/>
    </row>
    <row r="25" customFormat="false" ht="11.1" hidden="false" customHeight="true" outlineLevel="0" collapsed="false">
      <c r="A25" s="379" t="n">
        <v>9</v>
      </c>
      <c r="B25" s="379"/>
      <c r="C25" s="361" t="str">
        <f aca="false">Tables!C14</f>
        <v>d8+d6</v>
      </c>
      <c r="D25" s="361"/>
      <c r="E25" s="361"/>
      <c r="F25" s="361"/>
      <c r="G25" s="361"/>
      <c r="H25" s="383" t="str">
        <f aca="true">IF(Build!P624,OFFSET(Build!D$615,Build!P624,0),"")</f>
        <v>Durability</v>
      </c>
      <c r="I25" s="383"/>
      <c r="J25" s="383"/>
      <c r="K25" s="383"/>
      <c r="L25" s="383"/>
      <c r="M25" s="383"/>
      <c r="N25" s="383"/>
      <c r="O25" s="383"/>
      <c r="P25" s="383"/>
      <c r="Q25" s="383"/>
      <c r="R25" s="383"/>
      <c r="S25" s="383"/>
      <c r="T25" s="358" t="str">
        <f aca="true">IF(H25="","",TEXT(0,OFFSET(Build!E$615,Build!P624,0))&amp;IF(OFFSET(Build!I$615,Build!P624, 0)&gt;0,"+"&amp;OFFSET(Build!I$615,Build!P624,0),""))</f>
        <v>8</v>
      </c>
      <c r="U25" s="358"/>
      <c r="V25" s="358"/>
      <c r="W25" s="358" t="str">
        <f aca="true">IF(H25=""," ",IF(OFFSET(Build!H$615,Build!P624,0)=" ","n/a","R+")&amp;OFFSET(Build!H$615,Build!P624,0))</f>
        <v>n/a </v>
      </c>
      <c r="X25" s="358"/>
      <c r="Y25" s="358"/>
      <c r="Z25" s="358" t="str">
        <f aca="true">IF(H25=""," ",IF(OFFSET(Build!J$615,Build!P624,0)=" ","-",OFFSET(Build!J$615,Build!P624,0)))</f>
        <v>-</v>
      </c>
      <c r="AA25" s="358"/>
      <c r="AB25" s="358" t="str">
        <f aca="true">IF(H25="","",OFFSET(Build!K$615,Build!P624,0))</f>
        <v>-</v>
      </c>
      <c r="AC25" s="358"/>
      <c r="AD25" s="358"/>
      <c r="AE25" s="358"/>
      <c r="AF25" s="358"/>
      <c r="AG25" s="358"/>
      <c r="AH25" s="358" t="str">
        <f aca="true">IF(H25="","",MID(OFFSET(Build!M$615,Build!P624,0),1,1))</f>
        <v>-</v>
      </c>
      <c r="AI25" s="358"/>
      <c r="AJ25" s="358" t="str">
        <f aca="true">IF(H25="","",MID(OFFSET(Build!M$615,Build!P624,0),5,1))</f>
        <v>-</v>
      </c>
      <c r="AK25" s="358"/>
      <c r="AL25" s="384" t="str">
        <f aca="true">IF(H25="","",MID(OFFSET(Build!M$615,Build!P624,0),3,1))</f>
        <v>-</v>
      </c>
      <c r="AM25" s="384"/>
    </row>
    <row r="26" customFormat="false" ht="11.1" hidden="false" customHeight="true" outlineLevel="0" collapsed="false">
      <c r="A26" s="379" t="n">
        <v>10</v>
      </c>
      <c r="B26" s="379"/>
      <c r="C26" s="361" t="str">
        <f aca="false">Tables!C15</f>
        <v>2d8</v>
      </c>
      <c r="D26" s="361"/>
      <c r="E26" s="361"/>
      <c r="F26" s="361"/>
      <c r="G26" s="361"/>
      <c r="H26" s="383" t="str">
        <f aca="true">IF(Build!P625,OFFSET(Build!D$615,Build!P625,0),"")</f>
        <v>Disguise Self</v>
      </c>
      <c r="I26" s="383"/>
      <c r="J26" s="383"/>
      <c r="K26" s="383"/>
      <c r="L26" s="383"/>
      <c r="M26" s="383"/>
      <c r="N26" s="383"/>
      <c r="O26" s="383"/>
      <c r="P26" s="383"/>
      <c r="Q26" s="383"/>
      <c r="R26" s="383"/>
      <c r="S26" s="383"/>
      <c r="T26" s="358" t="str">
        <f aca="true">IF(H26="","",TEXT(0,OFFSET(Build!E$615,Build!P625,0))&amp;IF(OFFSET(Build!I$615,Build!P625, 0)&gt;0,"+"&amp;OFFSET(Build!I$615,Build!P625,0),""))</f>
        <v>8</v>
      </c>
      <c r="U26" s="358"/>
      <c r="V26" s="358"/>
      <c r="W26" s="358" t="str">
        <f aca="true">IF(H26=""," ",IF(OFFSET(Build!H$615,Build!P625,0)=" ","n/a","R+")&amp;OFFSET(Build!H$615,Build!P625,0))</f>
        <v>R+P</v>
      </c>
      <c r="X26" s="358"/>
      <c r="Y26" s="358"/>
      <c r="Z26" s="358" t="n">
        <f aca="true">IF(H26=""," ",IF(OFFSET(Build!J$615,Build!P625,0)=" ","-",OFFSET(Build!J$615,Build!P625,0)))</f>
        <v>15</v>
      </c>
      <c r="AA26" s="358"/>
      <c r="AB26" s="358" t="str">
        <f aca="true">IF(H26="","",OFFSET(Build!K$615,Build!P625,0))</f>
        <v>d12 +2d6</v>
      </c>
      <c r="AC26" s="358"/>
      <c r="AD26" s="358"/>
      <c r="AE26" s="358"/>
      <c r="AF26" s="358"/>
      <c r="AG26" s="358"/>
      <c r="AH26" s="358" t="str">
        <f aca="true">IF(H26="","",MID(OFFSET(Build!M$615,Build!P625,0),1,1))</f>
        <v>D</v>
      </c>
      <c r="AI26" s="358"/>
      <c r="AJ26" s="358" t="str">
        <f aca="true">IF(H26="","",MID(OFFSET(Build!M$615,Build!P625,0),5,1))</f>
        <v>-</v>
      </c>
      <c r="AK26" s="358"/>
      <c r="AL26" s="384" t="str">
        <f aca="true">IF(H26="","",MID(OFFSET(Build!M$615,Build!P625,0),3,1))</f>
        <v>A</v>
      </c>
      <c r="AM26" s="384"/>
    </row>
    <row r="27" customFormat="false" ht="11.1" hidden="false" customHeight="true" outlineLevel="0" collapsed="false">
      <c r="A27" s="379" t="n">
        <v>11</v>
      </c>
      <c r="B27" s="379"/>
      <c r="C27" s="361" t="str">
        <f aca="false">Tables!C16</f>
        <v>d10 + d8</v>
      </c>
      <c r="D27" s="361"/>
      <c r="E27" s="361"/>
      <c r="F27" s="361"/>
      <c r="G27" s="361"/>
      <c r="H27" s="383" t="str">
        <f aca="true">IF(Build!P626,OFFSET(Build!D$615,Build!P626,0),"")</f>
        <v>Detect Trap</v>
      </c>
      <c r="I27" s="383"/>
      <c r="J27" s="383"/>
      <c r="K27" s="383"/>
      <c r="L27" s="383"/>
      <c r="M27" s="383"/>
      <c r="N27" s="383"/>
      <c r="O27" s="383"/>
      <c r="P27" s="383"/>
      <c r="Q27" s="383"/>
      <c r="R27" s="383"/>
      <c r="S27" s="383"/>
      <c r="T27" s="358" t="str">
        <f aca="true">IF(H27="","",TEXT(0,OFFSET(Build!E$615,Build!P626,0))&amp;IF(OFFSET(Build!I$615,Build!P626, 0)&gt;0,"+"&amp;OFFSET(Build!I$615,Build!P626,0),""))</f>
        <v>8+1</v>
      </c>
      <c r="U27" s="358"/>
      <c r="V27" s="358"/>
      <c r="W27" s="358" t="str">
        <f aca="true">IF(H27=""," ",IF(OFFSET(Build!H$615,Build!P626,0)=" ","n/a","R+")&amp;OFFSET(Build!H$615,Build!P626,0))</f>
        <v>R+P</v>
      </c>
      <c r="X27" s="358"/>
      <c r="Y27" s="358"/>
      <c r="Z27" s="358" t="n">
        <f aca="true">IF(H27=""," ",IF(OFFSET(Build!J$615,Build!P626,0)=" ","-",OFFSET(Build!J$615,Build!P626,0)))</f>
        <v>16</v>
      </c>
      <c r="AA27" s="358"/>
      <c r="AB27" s="358" t="str">
        <f aca="true">IF(H27="","",OFFSET(Build!K$615,Build!P626,0))</f>
        <v>d12 +d8 + d6</v>
      </c>
      <c r="AC27" s="358"/>
      <c r="AD27" s="358"/>
      <c r="AE27" s="358"/>
      <c r="AF27" s="358"/>
      <c r="AG27" s="358"/>
      <c r="AH27" s="358" t="str">
        <f aca="true">IF(H27="","",MID(OFFSET(Build!M$615,Build!P626,0),1,1))</f>
        <v>-</v>
      </c>
      <c r="AI27" s="358"/>
      <c r="AJ27" s="358" t="str">
        <f aca="true">IF(H27="","",MID(OFFSET(Build!M$615,Build!P626,0),5,1))</f>
        <v>1</v>
      </c>
      <c r="AK27" s="358"/>
      <c r="AL27" s="384" t="str">
        <f aca="true">IF(H27="","",MID(OFFSET(Build!M$615,Build!P626,0),3,1))</f>
        <v>A</v>
      </c>
      <c r="AM27" s="384"/>
    </row>
    <row r="28" customFormat="false" ht="11.1" hidden="false" customHeight="true" outlineLevel="0" collapsed="false">
      <c r="A28" s="379" t="n">
        <v>12</v>
      </c>
      <c r="B28" s="379"/>
      <c r="C28" s="361" t="str">
        <f aca="false">Tables!C17</f>
        <v>2d10</v>
      </c>
      <c r="D28" s="361"/>
      <c r="E28" s="361"/>
      <c r="F28" s="361"/>
      <c r="G28" s="361"/>
      <c r="H28" s="383" t="str">
        <f aca="true">IF(Build!P627,OFFSET(Build!D$615,Build!P627,0),"")</f>
        <v>Thread Weaving (Scout)</v>
      </c>
      <c r="I28" s="383"/>
      <c r="J28" s="383"/>
      <c r="K28" s="383"/>
      <c r="L28" s="383"/>
      <c r="M28" s="383"/>
      <c r="N28" s="383"/>
      <c r="O28" s="383"/>
      <c r="P28" s="383"/>
      <c r="Q28" s="383"/>
      <c r="R28" s="383"/>
      <c r="S28" s="383"/>
      <c r="T28" s="358" t="str">
        <f aca="true">IF(H28="","",TEXT(0,OFFSET(Build!E$615,Build!P627,0))&amp;IF(OFFSET(Build!I$615,Build!P627, 0)&gt;0,"+"&amp;OFFSET(Build!I$615,Build!P627,0),""))</f>
        <v>6</v>
      </c>
      <c r="U28" s="358"/>
      <c r="V28" s="358"/>
      <c r="W28" s="358" t="str">
        <f aca="true">IF(H28=""," ",IF(OFFSET(Build!H$615,Build!P627,0)=" ","n/a","R+")&amp;OFFSET(Build!H$615,Build!P627,0))</f>
        <v>R+P</v>
      </c>
      <c r="X28" s="358"/>
      <c r="Y28" s="358"/>
      <c r="Z28" s="358" t="n">
        <f aca="true">IF(H28=""," ",IF(OFFSET(Build!J$615,Build!P627,0)=" ","-",OFFSET(Build!J$615,Build!P627,0)))</f>
        <v>13</v>
      </c>
      <c r="AA28" s="358"/>
      <c r="AB28" s="358" t="str">
        <f aca="true">IF(H28="","",OFFSET(Build!K$615,Build!P627,0))</f>
        <v>d12+d10</v>
      </c>
      <c r="AC28" s="358"/>
      <c r="AD28" s="358"/>
      <c r="AE28" s="358"/>
      <c r="AF28" s="358"/>
      <c r="AG28" s="358"/>
      <c r="AH28" s="358" t="str">
        <f aca="true">IF(H28="","",MID(OFFSET(Build!M$615,Build!P627,0),1,1))</f>
        <v>D</v>
      </c>
      <c r="AI28" s="358"/>
      <c r="AJ28" s="358" t="str">
        <f aca="true">IF(H28="","",MID(OFFSET(Build!M$615,Build!P627,0),5,1))</f>
        <v>-</v>
      </c>
      <c r="AK28" s="358"/>
      <c r="AL28" s="384" t="str">
        <f aca="true">IF(H28="","",MID(OFFSET(Build!M$615,Build!P627,0),3,1))</f>
        <v>A</v>
      </c>
      <c r="AM28" s="384"/>
    </row>
    <row r="29" customFormat="false" ht="11.1" hidden="false" customHeight="true" outlineLevel="0" collapsed="false">
      <c r="A29" s="379" t="n">
        <v>13</v>
      </c>
      <c r="B29" s="379"/>
      <c r="C29" s="361" t="str">
        <f aca="false">Tables!C18</f>
        <v>d12+d10</v>
      </c>
      <c r="D29" s="361"/>
      <c r="E29" s="361"/>
      <c r="F29" s="361"/>
      <c r="G29" s="361"/>
      <c r="H29" s="383" t="str">
        <f aca="true">IF(Build!P628,OFFSET(Build!D$615,Build!P628,0),"")</f>
        <v>Great Leap</v>
      </c>
      <c r="I29" s="383"/>
      <c r="J29" s="383"/>
      <c r="K29" s="383"/>
      <c r="L29" s="383"/>
      <c r="M29" s="383"/>
      <c r="N29" s="383"/>
      <c r="O29" s="383"/>
      <c r="P29" s="383"/>
      <c r="Q29" s="383"/>
      <c r="R29" s="383"/>
      <c r="S29" s="383"/>
      <c r="T29" s="358" t="str">
        <f aca="true">IF(H29="","",TEXT(0,OFFSET(Build!E$615,Build!P628,0))&amp;IF(OFFSET(Build!I$615,Build!P628, 0)&gt;0,"+"&amp;OFFSET(Build!I$615,Build!P628,0),""))</f>
        <v>6</v>
      </c>
      <c r="U29" s="358"/>
      <c r="V29" s="358"/>
      <c r="W29" s="358" t="str">
        <f aca="true">IF(H29=""," ",IF(OFFSET(Build!H$615,Build!P628,0)=" ","n/a","R+")&amp;OFFSET(Build!H$615,Build!P628,0))</f>
        <v>R+D</v>
      </c>
      <c r="X29" s="358"/>
      <c r="Y29" s="358"/>
      <c r="Z29" s="358" t="n">
        <f aca="true">IF(H29=""," ",IF(OFFSET(Build!J$615,Build!P628,0)=" ","-",OFFSET(Build!J$615,Build!P628,0)))</f>
        <v>13</v>
      </c>
      <c r="AA29" s="358"/>
      <c r="AB29" s="358" t="str">
        <f aca="true">IF(H29="","",OFFSET(Build!K$615,Build!P628,0))</f>
        <v>d12+d10</v>
      </c>
      <c r="AC29" s="358"/>
      <c r="AD29" s="358"/>
      <c r="AE29" s="358"/>
      <c r="AF29" s="358"/>
      <c r="AG29" s="358"/>
      <c r="AH29" s="358" t="str">
        <f aca="true">IF(H29="","",MID(OFFSET(Build!M$615,Build!P628,0),1,1))</f>
        <v>-</v>
      </c>
      <c r="AI29" s="358"/>
      <c r="AJ29" s="358" t="str">
        <f aca="true">IF(H29="","",MID(OFFSET(Build!M$615,Build!P628,0),5,1))</f>
        <v>1</v>
      </c>
      <c r="AK29" s="358"/>
      <c r="AL29" s="384" t="str">
        <f aca="true">IF(H29="","",MID(OFFSET(Build!M$615,Build!P628,0),3,1))</f>
        <v>F</v>
      </c>
      <c r="AM29" s="384"/>
    </row>
    <row r="30" customFormat="false" ht="11.1" hidden="false" customHeight="true" outlineLevel="0" collapsed="false">
      <c r="A30" s="379" t="n">
        <v>14</v>
      </c>
      <c r="B30" s="379"/>
      <c r="C30" s="361" t="str">
        <f aca="false">Tables!C19</f>
        <v>2d12</v>
      </c>
      <c r="D30" s="361"/>
      <c r="E30" s="361"/>
      <c r="F30" s="361"/>
      <c r="G30" s="361"/>
      <c r="H30" s="383" t="str">
        <f aca="true">IF(Build!P629,OFFSET(Build!D$615,Build!P629,0),"")</f>
        <v>Evidence Analysis</v>
      </c>
      <c r="I30" s="383"/>
      <c r="J30" s="383"/>
      <c r="K30" s="383"/>
      <c r="L30" s="383"/>
      <c r="M30" s="383"/>
      <c r="N30" s="383"/>
      <c r="O30" s="383"/>
      <c r="P30" s="383"/>
      <c r="Q30" s="383"/>
      <c r="R30" s="383"/>
      <c r="S30" s="383"/>
      <c r="T30" s="358" t="str">
        <f aca="true">IF(H30="","",TEXT(0,OFFSET(Build!E$615,Build!P629,0))&amp;IF(OFFSET(Build!I$615,Build!P629, 0)&gt;0,"+"&amp;OFFSET(Build!I$615,Build!P629,0),""))</f>
        <v>1</v>
      </c>
      <c r="U30" s="358"/>
      <c r="V30" s="358"/>
      <c r="W30" s="358" t="str">
        <f aca="true">IF(H30=""," ",IF(OFFSET(Build!H$615,Build!P629,0)=" ","n/a","R+")&amp;OFFSET(Build!H$615,Build!P629,0))</f>
        <v>R+P</v>
      </c>
      <c r="X30" s="358"/>
      <c r="Y30" s="358"/>
      <c r="Z30" s="358" t="n">
        <f aca="true">IF(H30=""," ",IF(OFFSET(Build!J$615,Build!P629,0)=" ","-",OFFSET(Build!J$615,Build!P629,0)))</f>
        <v>8</v>
      </c>
      <c r="AA30" s="358"/>
      <c r="AB30" s="358" t="str">
        <f aca="true">IF(H30="","",OFFSET(Build!K$615,Build!P629,0))</f>
        <v>2d6</v>
      </c>
      <c r="AC30" s="358"/>
      <c r="AD30" s="358"/>
      <c r="AE30" s="358"/>
      <c r="AF30" s="358"/>
      <c r="AG30" s="358"/>
      <c r="AH30" s="358" t="str">
        <f aca="true">IF(H30="","",MID(OFFSET(Build!M$615,Build!P629,0),1,1))</f>
        <v>D</v>
      </c>
      <c r="AI30" s="358"/>
      <c r="AJ30" s="358" t="str">
        <f aca="true">IF(H30="","",MID(OFFSET(Build!M$615,Build!P629,0),5,1))</f>
        <v>1</v>
      </c>
      <c r="AK30" s="358"/>
      <c r="AL30" s="384" t="str">
        <f aca="true">IF(H30="","",MID(OFFSET(Build!M$615,Build!P629,0),3,1))</f>
        <v>*</v>
      </c>
      <c r="AM30" s="384"/>
    </row>
    <row r="31" customFormat="false" ht="11.1" hidden="false" customHeight="true" outlineLevel="0" collapsed="false">
      <c r="A31" s="379" t="n">
        <v>15</v>
      </c>
      <c r="B31" s="379"/>
      <c r="C31" s="361" t="str">
        <f aca="false">Tables!C20</f>
        <v>d12 +2d6</v>
      </c>
      <c r="D31" s="361"/>
      <c r="E31" s="361"/>
      <c r="F31" s="361"/>
      <c r="G31" s="361"/>
      <c r="H31" s="383" t="str">
        <f aca="true">IF(Build!P630,OFFSET(Build!D$615,Build!P630,0),"")</f>
        <v>Disarm Trap</v>
      </c>
      <c r="I31" s="383"/>
      <c r="J31" s="383"/>
      <c r="K31" s="383"/>
      <c r="L31" s="383"/>
      <c r="M31" s="383"/>
      <c r="N31" s="383"/>
      <c r="O31" s="383"/>
      <c r="P31" s="383"/>
      <c r="Q31" s="383"/>
      <c r="R31" s="383"/>
      <c r="S31" s="383"/>
      <c r="T31" s="358" t="str">
        <f aca="true">IF(H31="","",TEXT(0,OFFSET(Build!E$615,Build!P630,0))&amp;IF(OFFSET(Build!I$615,Build!P630, 0)&gt;0,"+"&amp;OFFSET(Build!I$615,Build!P630,0),""))</f>
        <v>8+1</v>
      </c>
      <c r="U31" s="358"/>
      <c r="V31" s="358"/>
      <c r="W31" s="358" t="str">
        <f aca="true">IF(H31=""," ",IF(OFFSET(Build!H$615,Build!P630,0)=" ","n/a","R+")&amp;OFFSET(Build!H$615,Build!P630,0))</f>
        <v>R+D</v>
      </c>
      <c r="X31" s="358"/>
      <c r="Y31" s="358"/>
      <c r="Z31" s="358" t="n">
        <f aca="true">IF(H31=""," ",IF(OFFSET(Build!J$615,Build!P630,0)=" ","-",OFFSET(Build!J$615,Build!P630,0)))</f>
        <v>16</v>
      </c>
      <c r="AA31" s="358"/>
      <c r="AB31" s="358" t="str">
        <f aca="true">IF(H31="","",OFFSET(Build!K$615,Build!P630,0))</f>
        <v>d12 +d8 + d6</v>
      </c>
      <c r="AC31" s="358"/>
      <c r="AD31" s="358"/>
      <c r="AE31" s="358"/>
      <c r="AF31" s="358"/>
      <c r="AG31" s="358"/>
      <c r="AH31" s="358" t="str">
        <f aca="true">IF(H31="","",MID(OFFSET(Build!M$615,Build!P630,0),1,1))</f>
        <v>-</v>
      </c>
      <c r="AI31" s="358"/>
      <c r="AJ31" s="358" t="str">
        <f aca="true">IF(H31="","",MID(OFFSET(Build!M$615,Build!P630,0),5,1))</f>
        <v>1</v>
      </c>
      <c r="AK31" s="358"/>
      <c r="AL31" s="384" t="str">
        <f aca="true">IF(H31="","",MID(OFFSET(Build!M$615,Build!P630,0),3,1))</f>
        <v>A</v>
      </c>
      <c r="AM31" s="384"/>
    </row>
    <row r="32" customFormat="false" ht="11.1" hidden="false" customHeight="true" outlineLevel="0" collapsed="false">
      <c r="A32" s="379" t="n">
        <v>16</v>
      </c>
      <c r="B32" s="379"/>
      <c r="C32" s="361" t="str">
        <f aca="false">Tables!C21</f>
        <v>d12 +d8 + d6</v>
      </c>
      <c r="D32" s="361"/>
      <c r="E32" s="361"/>
      <c r="F32" s="361"/>
      <c r="G32" s="361"/>
      <c r="H32" s="383" t="str">
        <f aca="true">IF(Build!P631,OFFSET(Build!D$615,Build!P631,0),"")</f>
        <v>Astral Sight</v>
      </c>
      <c r="I32" s="383"/>
      <c r="J32" s="383"/>
      <c r="K32" s="383"/>
      <c r="L32" s="383"/>
      <c r="M32" s="383"/>
      <c r="N32" s="383"/>
      <c r="O32" s="383"/>
      <c r="P32" s="383"/>
      <c r="Q32" s="383"/>
      <c r="R32" s="383"/>
      <c r="S32" s="383"/>
      <c r="T32" s="358" t="str">
        <f aca="true">IF(H32="","",TEXT(0,OFFSET(Build!E$615,Build!P631,0))&amp;IF(OFFSET(Build!I$615,Build!P631, 0)&gt;0,"+"&amp;OFFSET(Build!I$615,Build!P631,0),""))</f>
        <v>8</v>
      </c>
      <c r="U32" s="358"/>
      <c r="V32" s="358"/>
      <c r="W32" s="358" t="str">
        <f aca="true">IF(H32=""," ",IF(OFFSET(Build!H$615,Build!P631,0)=" ","n/a","R+")&amp;OFFSET(Build!H$615,Build!P631,0))</f>
        <v>R+P</v>
      </c>
      <c r="X32" s="358"/>
      <c r="Y32" s="358"/>
      <c r="Z32" s="358" t="n">
        <f aca="true">IF(H32=""," ",IF(OFFSET(Build!J$615,Build!P631,0)=" ","-",OFFSET(Build!J$615,Build!P631,0)))</f>
        <v>15</v>
      </c>
      <c r="AA32" s="358"/>
      <c r="AB32" s="358" t="str">
        <f aca="true">IF(H32="","",OFFSET(Build!K$615,Build!P631,0))</f>
        <v>d12 +2d6</v>
      </c>
      <c r="AC32" s="358"/>
      <c r="AD32" s="358"/>
      <c r="AE32" s="358"/>
      <c r="AF32" s="358"/>
      <c r="AG32" s="358"/>
      <c r="AH32" s="358" t="str">
        <f aca="true">IF(H32="","",MID(OFFSET(Build!M$615,Build!P631,0),1,1))</f>
        <v>D</v>
      </c>
      <c r="AI32" s="358"/>
      <c r="AJ32" s="358" t="str">
        <f aca="true">IF(H32="","",MID(OFFSET(Build!M$615,Build!P631,0),5,1))</f>
        <v>1</v>
      </c>
      <c r="AK32" s="358"/>
      <c r="AL32" s="384" t="str">
        <f aca="true">IF(H32="","",MID(OFFSET(Build!M$615,Build!P631,0),3,1))</f>
        <v>S</v>
      </c>
      <c r="AM32" s="384"/>
    </row>
    <row r="33" customFormat="false" ht="11.1" hidden="false" customHeight="true" outlineLevel="0" collapsed="false">
      <c r="A33" s="379" t="n">
        <v>17</v>
      </c>
      <c r="B33" s="379"/>
      <c r="C33" s="361" t="str">
        <f aca="false">Tables!C22</f>
        <v>d12 + 2d8</v>
      </c>
      <c r="D33" s="361"/>
      <c r="E33" s="361"/>
      <c r="F33" s="361"/>
      <c r="G33" s="361"/>
      <c r="H33" s="383" t="str">
        <f aca="true">IF(Build!P632,OFFSET(Build!D$615,Build!P632,0),"")</f>
        <v>Lock Picking</v>
      </c>
      <c r="I33" s="383"/>
      <c r="J33" s="383"/>
      <c r="K33" s="383"/>
      <c r="L33" s="383"/>
      <c r="M33" s="383"/>
      <c r="N33" s="383"/>
      <c r="O33" s="383"/>
      <c r="P33" s="383"/>
      <c r="Q33" s="383"/>
      <c r="R33" s="383"/>
      <c r="S33" s="383"/>
      <c r="T33" s="358" t="str">
        <f aca="true">IF(H33="","",TEXT(0,OFFSET(Build!E$615,Build!P632,0))&amp;IF(OFFSET(Build!I$615,Build!P632, 0)&gt;0,"+"&amp;OFFSET(Build!I$615,Build!P632,0),""))</f>
        <v>8+1</v>
      </c>
      <c r="U33" s="358"/>
      <c r="V33" s="358"/>
      <c r="W33" s="358" t="str">
        <f aca="true">IF(H33=""," ",IF(OFFSET(Build!H$615,Build!P632,0)=" ","n/a","R+")&amp;OFFSET(Build!H$615,Build!P632,0))</f>
        <v>R+D</v>
      </c>
      <c r="X33" s="358"/>
      <c r="Y33" s="358"/>
      <c r="Z33" s="358" t="n">
        <f aca="true">IF(H33=""," ",IF(OFFSET(Build!J$615,Build!P632,0)=" ","-",OFFSET(Build!J$615,Build!P632,0)))</f>
        <v>16</v>
      </c>
      <c r="AA33" s="358"/>
      <c r="AB33" s="358" t="str">
        <f aca="true">IF(H33="","",OFFSET(Build!K$615,Build!P632,0))</f>
        <v>d12 +d8 + d6</v>
      </c>
      <c r="AC33" s="358"/>
      <c r="AD33" s="358"/>
      <c r="AE33" s="358"/>
      <c r="AF33" s="358"/>
      <c r="AG33" s="358"/>
      <c r="AH33" s="358" t="str">
        <f aca="true">IF(H33="","",MID(OFFSET(Build!M$615,Build!P632,0),1,1))</f>
        <v>-</v>
      </c>
      <c r="AI33" s="358"/>
      <c r="AJ33" s="358" t="str">
        <f aca="true">IF(H33="","",MID(OFFSET(Build!M$615,Build!P632,0),5,1))</f>
        <v>-</v>
      </c>
      <c r="AK33" s="358"/>
      <c r="AL33" s="384" t="str">
        <f aca="true">IF(H33="","",MID(OFFSET(Build!M$615,Build!P632,0),3,1))</f>
        <v>A</v>
      </c>
      <c r="AM33" s="384"/>
    </row>
    <row r="34" customFormat="false" ht="11.1" hidden="false" customHeight="true" outlineLevel="0" collapsed="false">
      <c r="A34" s="379" t="n">
        <v>18</v>
      </c>
      <c r="B34" s="379"/>
      <c r="C34" s="361" t="str">
        <f aca="false">Tables!C23</f>
        <v>d12 + d10 + d8</v>
      </c>
      <c r="D34" s="361"/>
      <c r="E34" s="361"/>
      <c r="F34" s="361"/>
      <c r="G34" s="361"/>
      <c r="H34" s="383" t="str">
        <f aca="true">IF(Build!P633,OFFSET(Build!D$615,Build!P633,0),"")</f>
        <v>Empathic Sense</v>
      </c>
      <c r="I34" s="383"/>
      <c r="J34" s="383"/>
      <c r="K34" s="383"/>
      <c r="L34" s="383"/>
      <c r="M34" s="383"/>
      <c r="N34" s="383"/>
      <c r="O34" s="383"/>
      <c r="P34" s="383"/>
      <c r="Q34" s="383"/>
      <c r="R34" s="383"/>
      <c r="S34" s="383"/>
      <c r="T34" s="358" t="str">
        <f aca="true">IF(H34="","",TEXT(0,OFFSET(Build!E$615,Build!P633,0))&amp;IF(OFFSET(Build!I$615,Build!P633, 0)&gt;0,"+"&amp;OFFSET(Build!I$615,Build!P633,0),""))</f>
        <v>8</v>
      </c>
      <c r="U34" s="358"/>
      <c r="V34" s="358"/>
      <c r="W34" s="358" t="str">
        <f aca="true">IF(H34=""," ",IF(OFFSET(Build!H$615,Build!P633,0)=" ","n/a","R+")&amp;OFFSET(Build!H$615,Build!P633,0))</f>
        <v>R+C</v>
      </c>
      <c r="X34" s="358"/>
      <c r="Y34" s="358"/>
      <c r="Z34" s="358" t="n">
        <f aca="true">IF(H34=""," ",IF(OFFSET(Build!J$615,Build!P633,0)=" ","-",OFFSET(Build!J$615,Build!P633,0)))</f>
        <v>14</v>
      </c>
      <c r="AA34" s="358"/>
      <c r="AB34" s="358" t="str">
        <f aca="true">IF(H34="","",OFFSET(Build!K$615,Build!P633,0))</f>
        <v>2d12</v>
      </c>
      <c r="AC34" s="358"/>
      <c r="AD34" s="358"/>
      <c r="AE34" s="358"/>
      <c r="AF34" s="358"/>
      <c r="AG34" s="358"/>
      <c r="AH34" s="358" t="str">
        <f aca="true">IF(H34="","",MID(OFFSET(Build!M$615,Build!P633,0),1,1))</f>
        <v>D</v>
      </c>
      <c r="AI34" s="358"/>
      <c r="AJ34" s="358" t="str">
        <f aca="true">IF(H34="","",MID(OFFSET(Build!M$615,Build!P633,0),5,1))</f>
        <v>*</v>
      </c>
      <c r="AK34" s="358"/>
      <c r="AL34" s="384" t="str">
        <f aca="true">IF(H34="","",MID(OFFSET(Build!M$615,Build!P633,0),3,1))</f>
        <v>A</v>
      </c>
      <c r="AM34" s="384"/>
    </row>
    <row r="35" customFormat="false" ht="11.1" hidden="false" customHeight="true" outlineLevel="0" collapsed="false">
      <c r="A35" s="379" t="n">
        <v>19</v>
      </c>
      <c r="B35" s="379"/>
      <c r="C35" s="361" t="str">
        <f aca="false">Tables!C24</f>
        <v>d12 + 2d10</v>
      </c>
      <c r="D35" s="361"/>
      <c r="E35" s="361"/>
      <c r="F35" s="361"/>
      <c r="G35" s="361"/>
      <c r="H35" s="383" t="str">
        <f aca="true">IF(Build!P634,OFFSET(Build!D$615,Build!P634,0),"")</f>
        <v>Conceal Object</v>
      </c>
      <c r="I35" s="383"/>
      <c r="J35" s="383"/>
      <c r="K35" s="383"/>
      <c r="L35" s="383"/>
      <c r="M35" s="383"/>
      <c r="N35" s="383"/>
      <c r="O35" s="383"/>
      <c r="P35" s="383"/>
      <c r="Q35" s="383"/>
      <c r="R35" s="383"/>
      <c r="S35" s="383"/>
      <c r="T35" s="358" t="str">
        <f aca="true">IF(H35="","",TEXT(0,OFFSET(Build!E$615,Build!P634,0))&amp;IF(OFFSET(Build!I$615,Build!P634, 0)&gt;0,"+"&amp;OFFSET(Build!I$615,Build!P634,0),""))</f>
        <v>4</v>
      </c>
      <c r="U35" s="358"/>
      <c r="V35" s="358"/>
      <c r="W35" s="358" t="str">
        <f aca="true">IF(H35=""," ",IF(OFFSET(Build!H$615,Build!P634,0)=" ","n/a","R+")&amp;OFFSET(Build!H$615,Build!P634,0))</f>
        <v>R+D</v>
      </c>
      <c r="X35" s="358"/>
      <c r="Y35" s="358"/>
      <c r="Z35" s="358" t="n">
        <f aca="true">IF(H35=""," ",IF(OFFSET(Build!J$615,Build!P634,0)=" ","-",OFFSET(Build!J$615,Build!P634,0)))</f>
        <v>11</v>
      </c>
      <c r="AA35" s="358"/>
      <c r="AB35" s="358" t="str">
        <f aca="true">IF(H35="","",OFFSET(Build!K$615,Build!P634,0))</f>
        <v>d10 + d8</v>
      </c>
      <c r="AC35" s="358"/>
      <c r="AD35" s="358"/>
      <c r="AE35" s="358"/>
      <c r="AF35" s="358"/>
      <c r="AG35" s="358"/>
      <c r="AH35" s="358" t="str">
        <f aca="true">IF(H35="","",MID(OFFSET(Build!M$615,Build!P634,0),1,1))</f>
        <v>-</v>
      </c>
      <c r="AI35" s="358"/>
      <c r="AJ35" s="358" t="str">
        <f aca="true">IF(H35="","",MID(OFFSET(Build!M$615,Build!P634,0),5,1))</f>
        <v>1</v>
      </c>
      <c r="AK35" s="358"/>
      <c r="AL35" s="384" t="str">
        <f aca="true">IF(H35="","",MID(OFFSET(Build!M$615,Build!P634,0),3,1))</f>
        <v>A</v>
      </c>
      <c r="AM35" s="384"/>
    </row>
    <row r="36" customFormat="false" ht="11.1" hidden="false" customHeight="true" outlineLevel="0" collapsed="false">
      <c r="A36" s="379" t="n">
        <v>20</v>
      </c>
      <c r="B36" s="379"/>
      <c r="C36" s="361" t="str">
        <f aca="false">Tables!C25</f>
        <v>2d12 + d10</v>
      </c>
      <c r="D36" s="361"/>
      <c r="E36" s="361"/>
      <c r="F36" s="361"/>
      <c r="G36" s="361"/>
      <c r="H36" s="383" t="str">
        <f aca="true">IF(Build!P635,OFFSET(Build!D$615,Build!P635,0),"")</f>
        <v>Versatility</v>
      </c>
      <c r="I36" s="383"/>
      <c r="J36" s="383"/>
      <c r="K36" s="383"/>
      <c r="L36" s="383"/>
      <c r="M36" s="383"/>
      <c r="N36" s="383"/>
      <c r="O36" s="383"/>
      <c r="P36" s="383"/>
      <c r="Q36" s="383"/>
      <c r="R36" s="383"/>
      <c r="S36" s="383"/>
      <c r="T36" s="358" t="str">
        <f aca="true">IF(H36="","",TEXT(0,OFFSET(Build!E$615,Build!P635,0))&amp;IF(OFFSET(Build!I$615,Build!P635, 0)&gt;0,"+"&amp;OFFSET(Build!I$615,Build!P635,0),""))</f>
        <v>5</v>
      </c>
      <c r="U36" s="358"/>
      <c r="V36" s="358"/>
      <c r="W36" s="358" t="str">
        <f aca="true">IF(H36=""," ",IF(OFFSET(Build!H$615,Build!P635,0)=" ","n/a","R+")&amp;OFFSET(Build!H$615,Build!P635,0))</f>
        <v>n/a </v>
      </c>
      <c r="X36" s="358"/>
      <c r="Y36" s="358"/>
      <c r="Z36" s="358" t="str">
        <f aca="true">IF(H36=""," ",IF(OFFSET(Build!J$615,Build!P635,0)=" ","-",OFFSET(Build!J$615,Build!P635,0)))</f>
        <v>-</v>
      </c>
      <c r="AA36" s="358"/>
      <c r="AB36" s="358" t="str">
        <f aca="true">IF(H36="","",OFFSET(Build!K$615,Build!P635,0))</f>
        <v>-</v>
      </c>
      <c r="AC36" s="358"/>
      <c r="AD36" s="358"/>
      <c r="AE36" s="358"/>
      <c r="AF36" s="358"/>
      <c r="AG36" s="358"/>
      <c r="AH36" s="358" t="str">
        <f aca="true">IF(H36="","",MID(OFFSET(Build!M$615,Build!P635,0),1,1))</f>
        <v>-</v>
      </c>
      <c r="AI36" s="358"/>
      <c r="AJ36" s="358" t="str">
        <f aca="true">IF(H36="","",MID(OFFSET(Build!M$615,Build!P635,0),5,1))</f>
        <v>-</v>
      </c>
      <c r="AK36" s="358"/>
      <c r="AL36" s="384" t="str">
        <f aca="true">IF(H36="","",MID(OFFSET(Build!M$615,Build!P635,0),3,1))</f>
        <v>-</v>
      </c>
      <c r="AM36" s="384"/>
    </row>
    <row r="37" customFormat="false" ht="11.1" hidden="false" customHeight="true" outlineLevel="0" collapsed="false">
      <c r="A37" s="379" t="n">
        <v>21</v>
      </c>
      <c r="B37" s="379"/>
      <c r="C37" s="361" t="str">
        <f aca="false">Tables!C26</f>
        <v>3d12</v>
      </c>
      <c r="D37" s="361"/>
      <c r="E37" s="361"/>
      <c r="F37" s="361"/>
      <c r="G37" s="361"/>
      <c r="H37" s="383" t="str">
        <f aca="true">IF(Build!P636,OFFSET(Build!D$615,Build!P636,0),"")</f>
        <v>Parry</v>
      </c>
      <c r="I37" s="383"/>
      <c r="J37" s="383"/>
      <c r="K37" s="383"/>
      <c r="L37" s="383"/>
      <c r="M37" s="383"/>
      <c r="N37" s="383"/>
      <c r="O37" s="383"/>
      <c r="P37" s="383"/>
      <c r="Q37" s="383"/>
      <c r="R37" s="383"/>
      <c r="S37" s="383"/>
      <c r="T37" s="358" t="str">
        <f aca="true">IF(H37="","",TEXT(0,OFFSET(Build!E$615,Build!P636,0))&amp;IF(OFFSET(Build!I$615,Build!P636, 0)&gt;0,"+"&amp;OFFSET(Build!I$615,Build!P636,0),""))</f>
        <v>5+1</v>
      </c>
      <c r="U37" s="358"/>
      <c r="V37" s="358"/>
      <c r="W37" s="358" t="str">
        <f aca="true">IF(H37=""," ",IF(OFFSET(Build!H$615,Build!P636,0)=" ","n/a","R+")&amp;OFFSET(Build!H$615,Build!P636,0))</f>
        <v>R+D</v>
      </c>
      <c r="X37" s="358"/>
      <c r="Y37" s="358"/>
      <c r="Z37" s="358" t="n">
        <f aca="true">IF(H37=""," ",IF(OFFSET(Build!J$615,Build!P636,0)=" ","-",OFFSET(Build!J$615,Build!P636,0)))</f>
        <v>13</v>
      </c>
      <c r="AA37" s="358"/>
      <c r="AB37" s="358" t="str">
        <f aca="true">IF(H37="","",OFFSET(Build!K$615,Build!P636,0))</f>
        <v>d12+d10</v>
      </c>
      <c r="AC37" s="358"/>
      <c r="AD37" s="358"/>
      <c r="AE37" s="358"/>
      <c r="AF37" s="358"/>
      <c r="AG37" s="358"/>
      <c r="AH37" s="358" t="str">
        <f aca="true">IF(H37="","",MID(OFFSET(Build!M$615,Build!P636,0),1,1))</f>
        <v>-</v>
      </c>
      <c r="AI37" s="358"/>
      <c r="AJ37" s="358" t="str">
        <f aca="true">IF(H37="","",MID(OFFSET(Build!M$615,Build!P636,0),5,1))</f>
        <v>1</v>
      </c>
      <c r="AK37" s="358"/>
      <c r="AL37" s="384" t="str">
        <f aca="true">IF(H37="","",MID(OFFSET(Build!M$615,Build!P636,0),3,1))</f>
        <v>F</v>
      </c>
      <c r="AM37" s="384"/>
    </row>
    <row r="38" customFormat="false" ht="11.1" hidden="false" customHeight="true" outlineLevel="0" collapsed="false">
      <c r="A38" s="379" t="n">
        <v>22</v>
      </c>
      <c r="B38" s="379"/>
      <c r="C38" s="361" t="str">
        <f aca="false">Tables!C27</f>
        <v>2d12 + 2d6</v>
      </c>
      <c r="D38" s="361"/>
      <c r="E38" s="361"/>
      <c r="F38" s="361"/>
      <c r="G38" s="361"/>
      <c r="H38" s="383" t="str">
        <f aca="true">IF(Build!P637,OFFSET(Build!D$615,Build!P637,0),"")</f>
        <v>Wood Skin</v>
      </c>
      <c r="I38" s="383"/>
      <c r="J38" s="383"/>
      <c r="K38" s="383"/>
      <c r="L38" s="383"/>
      <c r="M38" s="383"/>
      <c r="N38" s="383"/>
      <c r="O38" s="383"/>
      <c r="P38" s="383"/>
      <c r="Q38" s="383"/>
      <c r="R38" s="383"/>
      <c r="S38" s="383"/>
      <c r="T38" s="358" t="str">
        <f aca="true">IF(H38="","",TEXT(0,OFFSET(Build!E$615,Build!P637,0))&amp;IF(OFFSET(Build!I$615,Build!P637, 0)&gt;0,"+"&amp;OFFSET(Build!I$615,Build!P637,0),""))</f>
        <v>2</v>
      </c>
      <c r="U38" s="358"/>
      <c r="V38" s="358"/>
      <c r="W38" s="358" t="str">
        <f aca="true">IF(H38=""," ",IF(OFFSET(Build!H$615,Build!P637,0)=" ","n/a","R+")&amp;OFFSET(Build!H$615,Build!P637,0))</f>
        <v>R+T</v>
      </c>
      <c r="X38" s="358"/>
      <c r="Y38" s="358"/>
      <c r="Z38" s="358" t="n">
        <f aca="true">IF(H38=""," ",IF(OFFSET(Build!J$615,Build!P637,0)=" ","-",OFFSET(Build!J$615,Build!P637,0)))</f>
        <v>8</v>
      </c>
      <c r="AA38" s="358"/>
      <c r="AB38" s="358" t="str">
        <f aca="true">IF(H38="","",OFFSET(Build!K$615,Build!P637,0))</f>
        <v>2d6</v>
      </c>
      <c r="AC38" s="358"/>
      <c r="AD38" s="358"/>
      <c r="AE38" s="358"/>
      <c r="AF38" s="358"/>
      <c r="AG38" s="358"/>
      <c r="AH38" s="358" t="str">
        <f aca="true">IF(H38="","",MID(OFFSET(Build!M$615,Build!P637,0),1,1))</f>
        <v>K</v>
      </c>
      <c r="AI38" s="358"/>
      <c r="AJ38" s="358" t="str">
        <f aca="true">IF(H38="","",MID(OFFSET(Build!M$615,Build!P637,0),5,1))</f>
        <v>-</v>
      </c>
      <c r="AK38" s="358"/>
      <c r="AL38" s="384" t="str">
        <f aca="true">IF(H38="","",MID(OFFSET(Build!M$615,Build!P637,0),3,1))</f>
        <v>A</v>
      </c>
      <c r="AM38" s="384"/>
    </row>
    <row r="39" customFormat="false" ht="11.1" hidden="false" customHeight="true" outlineLevel="0" collapsed="false">
      <c r="A39" s="379" t="n">
        <v>23</v>
      </c>
      <c r="B39" s="379"/>
      <c r="C39" s="361" t="str">
        <f aca="false">Tables!C28</f>
        <v>2d12 + d8 +d6</v>
      </c>
      <c r="D39" s="361"/>
      <c r="E39" s="361"/>
      <c r="F39" s="361"/>
      <c r="G39" s="361"/>
      <c r="H39" s="383" t="str">
        <f aca="true">IF(Build!P638,OFFSET(Build!D$615,Build!P638,0),"")</f>
        <v>Lasting Impression</v>
      </c>
      <c r="I39" s="383"/>
      <c r="J39" s="383"/>
      <c r="K39" s="383"/>
      <c r="L39" s="383"/>
      <c r="M39" s="383"/>
      <c r="N39" s="383"/>
      <c r="O39" s="383"/>
      <c r="P39" s="383"/>
      <c r="Q39" s="383"/>
      <c r="R39" s="383"/>
      <c r="S39" s="383"/>
      <c r="T39" s="358" t="str">
        <f aca="true">IF(H39="","",TEXT(0,OFFSET(Build!E$615,Build!P638,0))&amp;IF(OFFSET(Build!I$615,Build!P638, 0)&gt;0,"+"&amp;OFFSET(Build!I$615,Build!P638,0),""))</f>
        <v>6</v>
      </c>
      <c r="U39" s="358"/>
      <c r="V39" s="358"/>
      <c r="W39" s="358" t="str">
        <f aca="true">IF(H39=""," ",IF(OFFSET(Build!H$615,Build!P638,0)=" ","n/a","R+")&amp;OFFSET(Build!H$615,Build!P638,0))</f>
        <v>R+C</v>
      </c>
      <c r="X39" s="358"/>
      <c r="Y39" s="358"/>
      <c r="Z39" s="358" t="n">
        <f aca="true">IF(H39=""," ",IF(OFFSET(Build!J$615,Build!P638,0)=" ","-",OFFSET(Build!J$615,Build!P638,0)))</f>
        <v>12</v>
      </c>
      <c r="AA39" s="358"/>
      <c r="AB39" s="358" t="str">
        <f aca="true">IF(H39="","",OFFSET(Build!K$615,Build!P638,0))</f>
        <v>2d10</v>
      </c>
      <c r="AC39" s="358"/>
      <c r="AD39" s="358"/>
      <c r="AE39" s="358"/>
      <c r="AF39" s="358"/>
      <c r="AG39" s="358"/>
      <c r="AH39" s="358" t="str">
        <f aca="true">IF(H39="","",MID(OFFSET(Build!M$615,Build!P638,0),1,1))</f>
        <v>K</v>
      </c>
      <c r="AI39" s="358"/>
      <c r="AJ39" s="358" t="str">
        <f aca="true">IF(H39="","",MID(OFFSET(Build!M$615,Build!P638,0),5,1))</f>
        <v>-</v>
      </c>
      <c r="AK39" s="358"/>
      <c r="AL39" s="384" t="str">
        <f aca="true">IF(H39="","",MID(OFFSET(Build!M$615,Build!P638,0),3,1))</f>
        <v>A</v>
      </c>
      <c r="AM39" s="384"/>
    </row>
    <row r="40" customFormat="false" ht="11.1" hidden="false" customHeight="true" outlineLevel="0" collapsed="false">
      <c r="A40" s="379" t="n">
        <v>24</v>
      </c>
      <c r="B40" s="379"/>
      <c r="C40" s="361" t="str">
        <f aca="false">Tables!C29</f>
        <v>2d12 _ 2d8</v>
      </c>
      <c r="D40" s="361"/>
      <c r="E40" s="361"/>
      <c r="F40" s="361"/>
      <c r="G40" s="361"/>
      <c r="H40" s="383" t="str">
        <f aca="true">IF(Build!P639,OFFSET(Build!D$615,Build!P639,0),"")</f>
        <v>Slough Blame</v>
      </c>
      <c r="I40" s="383"/>
      <c r="J40" s="383"/>
      <c r="K40" s="383"/>
      <c r="L40" s="383"/>
      <c r="M40" s="383"/>
      <c r="N40" s="383"/>
      <c r="O40" s="383"/>
      <c r="P40" s="383"/>
      <c r="Q40" s="383"/>
      <c r="R40" s="383"/>
      <c r="S40" s="383"/>
      <c r="T40" s="358" t="str">
        <f aca="true">IF(H40="","",TEXT(0,OFFSET(Build!E$615,Build!P639,0))&amp;IF(OFFSET(Build!I$615,Build!P639, 0)&gt;0,"+"&amp;OFFSET(Build!I$615,Build!P639,0),""))</f>
        <v>5</v>
      </c>
      <c r="U40" s="358"/>
      <c r="V40" s="358"/>
      <c r="W40" s="358" t="str">
        <f aca="true">IF(H40=""," ",IF(OFFSET(Build!H$615,Build!P639,0)=" ","n/a","R+")&amp;OFFSET(Build!H$615,Build!P639,0))</f>
        <v>R+C</v>
      </c>
      <c r="X40" s="358"/>
      <c r="Y40" s="358"/>
      <c r="Z40" s="358" t="n">
        <f aca="true">IF(H40=""," ",IF(OFFSET(Build!J$615,Build!P639,0)=" ","-",OFFSET(Build!J$615,Build!P639,0)))</f>
        <v>11</v>
      </c>
      <c r="AA40" s="358"/>
      <c r="AB40" s="358" t="str">
        <f aca="true">IF(H40="","",OFFSET(Build!K$615,Build!P639,0))</f>
        <v>d10 + d8</v>
      </c>
      <c r="AC40" s="358"/>
      <c r="AD40" s="358"/>
      <c r="AE40" s="358"/>
      <c r="AF40" s="358"/>
      <c r="AG40" s="358"/>
      <c r="AH40" s="358" t="str">
        <f aca="true">IF(H40="","",MID(OFFSET(Build!M$615,Build!P639,0),1,1))</f>
        <v>K</v>
      </c>
      <c r="AI40" s="358"/>
      <c r="AJ40" s="358" t="str">
        <f aca="true">IF(H40="","",MID(OFFSET(Build!M$615,Build!P639,0),5,1))</f>
        <v>1</v>
      </c>
      <c r="AK40" s="358"/>
      <c r="AL40" s="384" t="str">
        <f aca="true">IF(H40="","",MID(OFFSET(Build!M$615,Build!P639,0),3,1))</f>
        <v>A</v>
      </c>
      <c r="AM40" s="384"/>
    </row>
    <row r="41" customFormat="false" ht="11.1" hidden="false" customHeight="true" outlineLevel="0" collapsed="false">
      <c r="A41" s="379" t="n">
        <v>25</v>
      </c>
      <c r="B41" s="379"/>
      <c r="C41" s="361" t="str">
        <f aca="false">Tables!C30</f>
        <v>2d12 + d10 + d8</v>
      </c>
      <c r="D41" s="361"/>
      <c r="E41" s="361"/>
      <c r="F41" s="361"/>
      <c r="G41" s="361"/>
      <c r="H41" s="383" t="str">
        <f aca="true">IF(Build!P640,OFFSET(Build!D$615,Build!P640,0),"")</f>
        <v>Earth Skin</v>
      </c>
      <c r="I41" s="383"/>
      <c r="J41" s="383"/>
      <c r="K41" s="383"/>
      <c r="L41" s="383"/>
      <c r="M41" s="383"/>
      <c r="N41" s="383"/>
      <c r="O41" s="383"/>
      <c r="P41" s="383"/>
      <c r="Q41" s="383"/>
      <c r="R41" s="383"/>
      <c r="S41" s="383"/>
      <c r="T41" s="358" t="str">
        <f aca="true">IF(H41="","",TEXT(0,OFFSET(Build!E$615,Build!P640,0))&amp;IF(OFFSET(Build!I$615,Build!P640, 0)&gt;0,"+"&amp;OFFSET(Build!I$615,Build!P640,0),""))</f>
        <v>1</v>
      </c>
      <c r="U41" s="358"/>
      <c r="V41" s="358"/>
      <c r="W41" s="358" t="str">
        <f aca="true">IF(H41=""," ",IF(OFFSET(Build!H$615,Build!P640,0)=" ","n/a","R+")&amp;OFFSET(Build!H$615,Build!P640,0))</f>
        <v>R+T</v>
      </c>
      <c r="X41" s="358"/>
      <c r="Y41" s="358"/>
      <c r="Z41" s="358" t="n">
        <f aca="true">IF(H41=""," ",IF(OFFSET(Build!J$615,Build!P640,0)=" ","-",OFFSET(Build!J$615,Build!P640,0)))</f>
        <v>7</v>
      </c>
      <c r="AA41" s="358"/>
      <c r="AB41" s="358" t="str">
        <f aca="true">IF(H41="","",OFFSET(Build!K$615,Build!P640,0))</f>
        <v>d12</v>
      </c>
      <c r="AC41" s="358"/>
      <c r="AD41" s="358"/>
      <c r="AE41" s="358"/>
      <c r="AF41" s="358"/>
      <c r="AG41" s="358"/>
      <c r="AH41" s="358" t="str">
        <f aca="true">IF(H41="","",MID(OFFSET(Build!M$615,Build!P640,0),1,1))</f>
        <v>K</v>
      </c>
      <c r="AI41" s="358"/>
      <c r="AJ41" s="358" t="str">
        <f aca="true">IF(H41="","",MID(OFFSET(Build!M$615,Build!P640,0),5,1))</f>
        <v>-</v>
      </c>
      <c r="AK41" s="358"/>
      <c r="AL41" s="385" t="str">
        <f aca="true">IF(H41="","",MID(OFFSET(Build!M$615,Build!P640,0),3,1))</f>
        <v>A</v>
      </c>
      <c r="AM41" s="385"/>
    </row>
    <row r="42" customFormat="false" ht="11.1" hidden="false" customHeight="true" outlineLevel="0" collapsed="false">
      <c r="A42" s="379" t="n">
        <v>26</v>
      </c>
      <c r="B42" s="379"/>
      <c r="C42" s="361" t="str">
        <f aca="false">Tables!C31</f>
        <v>2d12 + 2d10</v>
      </c>
      <c r="D42" s="361"/>
      <c r="E42" s="361"/>
      <c r="F42" s="361"/>
      <c r="G42" s="361"/>
      <c r="H42" s="383" t="str">
        <f aca="true">IF(Build!P641,OFFSET(Build!D$615,Build!P641,0),"")</f>
        <v/>
      </c>
      <c r="I42" s="383"/>
      <c r="J42" s="383"/>
      <c r="K42" s="383"/>
      <c r="L42" s="383"/>
      <c r="M42" s="383"/>
      <c r="N42" s="383"/>
      <c r="O42" s="383"/>
      <c r="P42" s="383"/>
      <c r="Q42" s="383"/>
      <c r="R42" s="383"/>
      <c r="S42" s="383"/>
      <c r="T42" s="358" t="str">
        <f aca="true">IF(H42="","",TEXT(0,OFFSET(Build!E$615,Build!P641,0))&amp;IF(OFFSET(Build!I$615,Build!P641, 0)&gt;0,"+"&amp;OFFSET(Build!I$615,Build!P641,0),""))</f>
        <v/>
      </c>
      <c r="U42" s="358"/>
      <c r="V42" s="358"/>
      <c r="W42" s="358" t="str">
        <f aca="true">IF(H42=""," ",IF(OFFSET(Build!H$615,Build!P641,0)=" ","n/a","R+")&amp;OFFSET(Build!H$615,Build!P641,0))</f>
        <v> </v>
      </c>
      <c r="X42" s="358"/>
      <c r="Y42" s="358"/>
      <c r="Z42" s="358" t="str">
        <f aca="true">IF(H42=""," ",IF(OFFSET(Build!J$615,Build!P641,0)=" ","-",OFFSET(Build!J$615,Build!P641,0)))</f>
        <v> </v>
      </c>
      <c r="AA42" s="358"/>
      <c r="AB42" s="358" t="str">
        <f aca="true">IF(H42="","",OFFSET(Build!K$615,Build!P641,0))</f>
        <v/>
      </c>
      <c r="AC42" s="358"/>
      <c r="AD42" s="358"/>
      <c r="AE42" s="358"/>
      <c r="AF42" s="358"/>
      <c r="AG42" s="358"/>
      <c r="AH42" s="358" t="str">
        <f aca="true">IF(H42="","",MID(OFFSET(Build!M$615,Build!P641,0),1,1))</f>
        <v/>
      </c>
      <c r="AI42" s="358"/>
      <c r="AJ42" s="358" t="str">
        <f aca="true">IF(H42="","",MID(OFFSET(Build!M$615,Build!P641,0),5,1))</f>
        <v/>
      </c>
      <c r="AK42" s="358"/>
      <c r="AL42" s="385" t="str">
        <f aca="true">IF(H42="","",MID(OFFSET(Build!M$615,Build!P641,0),3,1))</f>
        <v/>
      </c>
      <c r="AM42" s="385"/>
    </row>
    <row r="43" customFormat="false" ht="11.1" hidden="false" customHeight="true" outlineLevel="0" collapsed="false">
      <c r="A43" s="379" t="n">
        <v>27</v>
      </c>
      <c r="B43" s="379"/>
      <c r="C43" s="361" t="str">
        <f aca="false">Tables!C32</f>
        <v>3d12 + d10</v>
      </c>
      <c r="D43" s="361"/>
      <c r="E43" s="361"/>
      <c r="F43" s="361"/>
      <c r="G43" s="361"/>
      <c r="H43" s="383" t="str">
        <f aca="true">IF(Build!P642,OFFSET(Build!D$615,Build!P642,0),"")</f>
        <v/>
      </c>
      <c r="I43" s="383"/>
      <c r="J43" s="383"/>
      <c r="K43" s="383"/>
      <c r="L43" s="383"/>
      <c r="M43" s="383"/>
      <c r="N43" s="383"/>
      <c r="O43" s="383"/>
      <c r="P43" s="383"/>
      <c r="Q43" s="383"/>
      <c r="R43" s="383"/>
      <c r="S43" s="383"/>
      <c r="T43" s="358" t="str">
        <f aca="true">IF(H43="","",TEXT(0,OFFSET(Build!E$615,Build!P642,0))&amp;IF(OFFSET(Build!I$615,Build!P642, 0)&gt;0,"+"&amp;OFFSET(Build!I$615,Build!P642,0),""))</f>
        <v/>
      </c>
      <c r="U43" s="358"/>
      <c r="V43" s="358"/>
      <c r="W43" s="358" t="str">
        <f aca="true">IF(H43=""," ",IF(OFFSET(Build!H$615,Build!P642,0)=" ","n/a","R+")&amp;OFFSET(Build!H$615,Build!P642,0))</f>
        <v> </v>
      </c>
      <c r="X43" s="358"/>
      <c r="Y43" s="358"/>
      <c r="Z43" s="358" t="str">
        <f aca="true">IF(H43=""," ",IF(OFFSET(Build!J$615,Build!P642,0)=" ","-",OFFSET(Build!J$615,Build!P642,0)))</f>
        <v> </v>
      </c>
      <c r="AA43" s="358"/>
      <c r="AB43" s="358" t="str">
        <f aca="true">IF(H43="","",OFFSET(Build!K$615,Build!P642,0))</f>
        <v/>
      </c>
      <c r="AC43" s="358"/>
      <c r="AD43" s="358"/>
      <c r="AE43" s="358"/>
      <c r="AF43" s="358"/>
      <c r="AG43" s="358"/>
      <c r="AH43" s="358" t="str">
        <f aca="true">IF(H43="","",MID(OFFSET(Build!M$615,Build!P642,0),1,1))</f>
        <v/>
      </c>
      <c r="AI43" s="358"/>
      <c r="AJ43" s="358" t="str">
        <f aca="true">IF(H43="","",MID(OFFSET(Build!M$615,Build!P642,0),5,1))</f>
        <v/>
      </c>
      <c r="AK43" s="358"/>
      <c r="AL43" s="385" t="str">
        <f aca="true">IF(H43="","",MID(OFFSET(Build!M$615,Build!P642,0),3,1))</f>
        <v/>
      </c>
      <c r="AM43" s="385"/>
    </row>
    <row r="44" customFormat="false" ht="11.1" hidden="false" customHeight="true" outlineLevel="0" collapsed="false">
      <c r="A44" s="379" t="n">
        <v>28</v>
      </c>
      <c r="B44" s="379"/>
      <c r="C44" s="361" t="str">
        <f aca="false">Tables!C33</f>
        <v>4d12</v>
      </c>
      <c r="D44" s="361"/>
      <c r="E44" s="361"/>
      <c r="F44" s="361"/>
      <c r="G44" s="361"/>
      <c r="H44" s="383" t="str">
        <f aca="true">IF(Build!P643,OFFSET(Build!D$615,Build!P643,0),"")</f>
        <v/>
      </c>
      <c r="I44" s="383"/>
      <c r="J44" s="383"/>
      <c r="K44" s="383"/>
      <c r="L44" s="383"/>
      <c r="M44" s="383"/>
      <c r="N44" s="383"/>
      <c r="O44" s="383"/>
      <c r="P44" s="383"/>
      <c r="Q44" s="383"/>
      <c r="R44" s="383"/>
      <c r="S44" s="383"/>
      <c r="T44" s="358" t="str">
        <f aca="true">IF(H44="","",TEXT(0,OFFSET(Build!E$615,Build!P643,0))&amp;IF(OFFSET(Build!I$615,Build!P643, 0)&gt;0,"+"&amp;OFFSET(Build!I$615,Build!P643,0),""))</f>
        <v/>
      </c>
      <c r="U44" s="358"/>
      <c r="V44" s="358"/>
      <c r="W44" s="358" t="str">
        <f aca="true">IF(H44=""," ",IF(OFFSET(Build!H$615,Build!P643,0)=" ","n/a","R+")&amp;OFFSET(Build!H$615,Build!P643,0))</f>
        <v> </v>
      </c>
      <c r="X44" s="358"/>
      <c r="Y44" s="358"/>
      <c r="Z44" s="358" t="str">
        <f aca="true">IF(H44=""," ",IF(OFFSET(Build!J$615,Build!P643,0)=" ","-",OFFSET(Build!J$615,Build!P643,0)))</f>
        <v> </v>
      </c>
      <c r="AA44" s="358"/>
      <c r="AB44" s="358" t="str">
        <f aca="true">IF(H44="","",OFFSET(Build!K$615,Build!P643,0))</f>
        <v/>
      </c>
      <c r="AC44" s="358"/>
      <c r="AD44" s="358"/>
      <c r="AE44" s="358"/>
      <c r="AF44" s="358"/>
      <c r="AG44" s="358"/>
      <c r="AH44" s="358" t="str">
        <f aca="true">IF(H44="","",MID(OFFSET(Build!M$615,Build!P643,0),1,1))</f>
        <v/>
      </c>
      <c r="AI44" s="358"/>
      <c r="AJ44" s="358" t="str">
        <f aca="true">IF(H44="","",MID(OFFSET(Build!M$615,Build!P643,0),5,1))</f>
        <v/>
      </c>
      <c r="AK44" s="358"/>
      <c r="AL44" s="385" t="str">
        <f aca="true">IF(H44="","",MID(OFFSET(Build!M$615,Build!P643,0),3,1))</f>
        <v/>
      </c>
      <c r="AM44" s="385"/>
    </row>
    <row r="45" customFormat="false" ht="11.1" hidden="false" customHeight="true" outlineLevel="0" collapsed="false">
      <c r="A45" s="379" t="n">
        <v>29</v>
      </c>
      <c r="B45" s="379"/>
      <c r="C45" s="361" t="str">
        <f aca="false">Tables!C34</f>
        <v>3d12 +2d6</v>
      </c>
      <c r="D45" s="361"/>
      <c r="E45" s="361"/>
      <c r="F45" s="361"/>
      <c r="G45" s="361"/>
      <c r="H45" s="383" t="str">
        <f aca="true">IF(Build!P644,OFFSET(Build!D$615,Build!P644,0),"")</f>
        <v/>
      </c>
      <c r="I45" s="383"/>
      <c r="J45" s="383"/>
      <c r="K45" s="383"/>
      <c r="L45" s="383"/>
      <c r="M45" s="383"/>
      <c r="N45" s="383"/>
      <c r="O45" s="383"/>
      <c r="P45" s="383"/>
      <c r="Q45" s="383"/>
      <c r="R45" s="383"/>
      <c r="S45" s="383"/>
      <c r="T45" s="358" t="str">
        <f aca="true">IF(H45="","",TEXT(0,OFFSET(Build!E$615,Build!P644,0))&amp;IF(OFFSET(Build!I$615,Build!P644, 0)&gt;0,"+"&amp;OFFSET(Build!I$615,Build!P644,0),""))</f>
        <v/>
      </c>
      <c r="U45" s="358"/>
      <c r="V45" s="358"/>
      <c r="W45" s="358" t="str">
        <f aca="true">IF(H45=""," ",IF(OFFSET(Build!H$615,Build!P644,0)=" ","n/a","R+")&amp;OFFSET(Build!H$615,Build!P644,0))</f>
        <v> </v>
      </c>
      <c r="X45" s="358"/>
      <c r="Y45" s="358"/>
      <c r="Z45" s="358" t="str">
        <f aca="true">IF(H45=""," ",IF(OFFSET(Build!J$615,Build!P644,0)=" ","-",OFFSET(Build!J$615,Build!P644,0)))</f>
        <v> </v>
      </c>
      <c r="AA45" s="358"/>
      <c r="AB45" s="358" t="str">
        <f aca="true">IF(H45="","",OFFSET(Build!K$615,Build!P644,0))</f>
        <v/>
      </c>
      <c r="AC45" s="358"/>
      <c r="AD45" s="358"/>
      <c r="AE45" s="358"/>
      <c r="AF45" s="358"/>
      <c r="AG45" s="358"/>
      <c r="AH45" s="358" t="str">
        <f aca="true">IF(H45="","",MID(OFFSET(Build!M$615,Build!P644,0),1,1))</f>
        <v/>
      </c>
      <c r="AI45" s="358"/>
      <c r="AJ45" s="358" t="str">
        <f aca="true">IF(H45="","",MID(OFFSET(Build!M$615,Build!P644,0),5,1))</f>
        <v/>
      </c>
      <c r="AK45" s="358"/>
      <c r="AL45" s="385" t="str">
        <f aca="true">IF(H45="","",MID(OFFSET(Build!M$615,Build!P644,0),3,1))</f>
        <v/>
      </c>
      <c r="AM45" s="385"/>
    </row>
    <row r="46" customFormat="false" ht="11.1" hidden="false" customHeight="true" outlineLevel="0" collapsed="false">
      <c r="A46" s="379" t="n">
        <v>30</v>
      </c>
      <c r="B46" s="379"/>
      <c r="C46" s="361" t="str">
        <f aca="false">Tables!C35</f>
        <v>3d12 + d8 +d6</v>
      </c>
      <c r="D46" s="361"/>
      <c r="E46" s="361"/>
      <c r="F46" s="361"/>
      <c r="G46" s="361"/>
      <c r="H46" s="383" t="str">
        <f aca="true">IF(Build!P645,OFFSET(Build!D$615,Build!P645,0),"")</f>
        <v/>
      </c>
      <c r="I46" s="383"/>
      <c r="J46" s="383"/>
      <c r="K46" s="383"/>
      <c r="L46" s="383"/>
      <c r="M46" s="383"/>
      <c r="N46" s="383"/>
      <c r="O46" s="383"/>
      <c r="P46" s="383"/>
      <c r="Q46" s="383"/>
      <c r="R46" s="383"/>
      <c r="S46" s="383"/>
      <c r="T46" s="358" t="str">
        <f aca="true">IF(H46="","",TEXT(0,OFFSET(Build!E$615,Build!P645,0))&amp;IF(OFFSET(Build!I$615,Build!P645, 0)&gt;0,"+"&amp;OFFSET(Build!I$615,Build!P645,0),""))</f>
        <v/>
      </c>
      <c r="U46" s="358"/>
      <c r="V46" s="358"/>
      <c r="W46" s="358" t="str">
        <f aca="true">IF(H46=""," ",IF(OFFSET(Build!H$615,Build!P645,0)=" ","n/a","R+")&amp;OFFSET(Build!H$615,Build!P645,0))</f>
        <v> </v>
      </c>
      <c r="X46" s="358"/>
      <c r="Y46" s="358"/>
      <c r="Z46" s="358" t="str">
        <f aca="true">IF(H46=""," ",IF(OFFSET(Build!J$615,Build!P645,0)=" ","-",OFFSET(Build!J$615,Build!P645,0)))</f>
        <v> </v>
      </c>
      <c r="AA46" s="358"/>
      <c r="AB46" s="358" t="str">
        <f aca="true">IF(H46="","",OFFSET(Build!K$615,Build!P645,0))</f>
        <v/>
      </c>
      <c r="AC46" s="358"/>
      <c r="AD46" s="358"/>
      <c r="AE46" s="358"/>
      <c r="AF46" s="358"/>
      <c r="AG46" s="358"/>
      <c r="AH46" s="358" t="str">
        <f aca="true">IF(H46="","",MID(OFFSET(Build!M$615,Build!P645,0),1,1))</f>
        <v/>
      </c>
      <c r="AI46" s="358"/>
      <c r="AJ46" s="358" t="str">
        <f aca="true">IF(H46="","",MID(OFFSET(Build!M$615,Build!P645,0),5,1))</f>
        <v/>
      </c>
      <c r="AK46" s="358"/>
      <c r="AL46" s="385" t="str">
        <f aca="true">IF(H46="","",MID(OFFSET(Build!M$615,Build!P645,0),3,1))</f>
        <v/>
      </c>
      <c r="AM46" s="385"/>
    </row>
    <row r="47" customFormat="false" ht="11.1" hidden="false" customHeight="true" outlineLevel="0" collapsed="false">
      <c r="A47" s="379" t="n">
        <v>31</v>
      </c>
      <c r="B47" s="379"/>
      <c r="C47" s="361" t="str">
        <f aca="false">Tables!C36</f>
        <v>3d12 +2d8</v>
      </c>
      <c r="D47" s="361"/>
      <c r="E47" s="361"/>
      <c r="F47" s="361"/>
      <c r="G47" s="361"/>
      <c r="H47" s="383" t="str">
        <f aca="true">IF(Build!P646,OFFSET(Build!D$615,Build!P646,0),"")</f>
        <v/>
      </c>
      <c r="I47" s="383"/>
      <c r="J47" s="383"/>
      <c r="K47" s="383"/>
      <c r="L47" s="383"/>
      <c r="M47" s="383"/>
      <c r="N47" s="383"/>
      <c r="O47" s="383"/>
      <c r="P47" s="383"/>
      <c r="Q47" s="383"/>
      <c r="R47" s="383"/>
      <c r="S47" s="383"/>
      <c r="T47" s="358" t="str">
        <f aca="true">IF(H47="","",TEXT(0,OFFSET(Build!E$615,Build!P646,0))&amp;IF(OFFSET(Build!I$615,Build!P646, 0)&gt;0,"+"&amp;OFFSET(Build!I$615,Build!P646,0),""))</f>
        <v/>
      </c>
      <c r="U47" s="358"/>
      <c r="V47" s="358"/>
      <c r="W47" s="358" t="str">
        <f aca="true">IF(H47=""," ",IF(OFFSET(Build!H$615,Build!P646,0)=" ","n/a","R+")&amp;OFFSET(Build!H$615,Build!P646,0))</f>
        <v> </v>
      </c>
      <c r="X47" s="358"/>
      <c r="Y47" s="358"/>
      <c r="Z47" s="358" t="str">
        <f aca="true">IF(H47=""," ",IF(OFFSET(Build!J$615,Build!P646,0)=" ","-",OFFSET(Build!J$615,Build!P646,0)))</f>
        <v> </v>
      </c>
      <c r="AA47" s="358"/>
      <c r="AB47" s="358" t="str">
        <f aca="true">IF(H47="","",OFFSET(Build!K$615,Build!P646,0))</f>
        <v/>
      </c>
      <c r="AC47" s="358"/>
      <c r="AD47" s="358"/>
      <c r="AE47" s="358"/>
      <c r="AF47" s="358"/>
      <c r="AG47" s="358"/>
      <c r="AH47" s="358" t="str">
        <f aca="true">IF(H47="","",MID(OFFSET(Build!M$615,Build!P646,0),1,1))</f>
        <v/>
      </c>
      <c r="AI47" s="358"/>
      <c r="AJ47" s="358" t="str">
        <f aca="true">IF(H47="","",MID(OFFSET(Build!M$615,Build!P646,0),5,1))</f>
        <v/>
      </c>
      <c r="AK47" s="358"/>
      <c r="AL47" s="385" t="str">
        <f aca="true">IF(H47="","",MID(OFFSET(Build!M$615,Build!P646,0),3,1))</f>
        <v/>
      </c>
      <c r="AM47" s="385"/>
    </row>
    <row r="48" customFormat="false" ht="11.1" hidden="false" customHeight="true" outlineLevel="0" collapsed="false">
      <c r="A48" s="379" t="n">
        <v>32</v>
      </c>
      <c r="B48" s="379"/>
      <c r="C48" s="361" t="str">
        <f aca="false">Tables!C37</f>
        <v>3d12 + d10 +d8</v>
      </c>
      <c r="D48" s="361"/>
      <c r="E48" s="361"/>
      <c r="F48" s="361"/>
      <c r="G48" s="361"/>
      <c r="H48" s="383" t="str">
        <f aca="true">IF(Build!P647,OFFSET(Build!D$615,Build!P647,0),"")</f>
        <v/>
      </c>
      <c r="I48" s="383"/>
      <c r="J48" s="383"/>
      <c r="K48" s="383"/>
      <c r="L48" s="383"/>
      <c r="M48" s="383"/>
      <c r="N48" s="383"/>
      <c r="O48" s="383"/>
      <c r="P48" s="383"/>
      <c r="Q48" s="383"/>
      <c r="R48" s="383"/>
      <c r="S48" s="383"/>
      <c r="T48" s="358" t="str">
        <f aca="true">IF(H48="","",TEXT(0,OFFSET(Build!E$615,Build!P647,0))&amp;IF(OFFSET(Build!I$615,Build!P647, 0)&gt;0,"+"&amp;OFFSET(Build!I$615,Build!P647,0),""))</f>
        <v/>
      </c>
      <c r="U48" s="358"/>
      <c r="V48" s="358"/>
      <c r="W48" s="358" t="str">
        <f aca="true">IF(H48=""," ",IF(OFFSET(Build!H$615,Build!P647,0)=" ","n/a","R+")&amp;OFFSET(Build!H$615,Build!P647,0))</f>
        <v> </v>
      </c>
      <c r="X48" s="358"/>
      <c r="Y48" s="358"/>
      <c r="Z48" s="358" t="str">
        <f aca="true">IF(H48=""," ",IF(OFFSET(Build!J$615,Build!P647,0)=" ","-",OFFSET(Build!J$615,Build!P647,0)))</f>
        <v> </v>
      </c>
      <c r="AA48" s="358"/>
      <c r="AB48" s="358" t="str">
        <f aca="true">IF(H48="","",OFFSET(Build!K$615,Build!P647,0))</f>
        <v/>
      </c>
      <c r="AC48" s="358"/>
      <c r="AD48" s="358"/>
      <c r="AE48" s="358"/>
      <c r="AF48" s="358"/>
      <c r="AG48" s="358"/>
      <c r="AH48" s="358" t="str">
        <f aca="true">IF(H48="","",MID(OFFSET(Build!M$615,Build!P647,0),1,1))</f>
        <v/>
      </c>
      <c r="AI48" s="358"/>
      <c r="AJ48" s="358" t="str">
        <f aca="true">IF(H48="","",MID(OFFSET(Build!M$615,Build!P647,0),5,1))</f>
        <v/>
      </c>
      <c r="AK48" s="358"/>
      <c r="AL48" s="385" t="str">
        <f aca="true">IF(H48="","",MID(OFFSET(Build!M$615,Build!P647,0),3,1))</f>
        <v/>
      </c>
      <c r="AM48" s="385"/>
    </row>
    <row r="49" customFormat="false" ht="11.1" hidden="false" customHeight="true" outlineLevel="0" collapsed="false">
      <c r="A49" s="379" t="n">
        <v>33</v>
      </c>
      <c r="B49" s="379"/>
      <c r="C49" s="361" t="str">
        <f aca="false">Tables!C38</f>
        <v>3d12 + 2d10</v>
      </c>
      <c r="D49" s="361"/>
      <c r="E49" s="361"/>
      <c r="F49" s="361"/>
      <c r="G49" s="361"/>
      <c r="H49" s="383" t="str">
        <f aca="true">IF(Build!P648,OFFSET(Build!D$615,Build!P648,0),"")</f>
        <v/>
      </c>
      <c r="I49" s="383"/>
      <c r="J49" s="383"/>
      <c r="K49" s="383"/>
      <c r="L49" s="383"/>
      <c r="M49" s="383"/>
      <c r="N49" s="383"/>
      <c r="O49" s="383"/>
      <c r="P49" s="383"/>
      <c r="Q49" s="383"/>
      <c r="R49" s="383"/>
      <c r="S49" s="383"/>
      <c r="T49" s="358" t="str">
        <f aca="true">IF(H49="","",TEXT(0,OFFSET(Build!E$615,Build!P648,0))&amp;IF(OFFSET(Build!I$615,Build!P648, 0)&gt;0,"+"&amp;OFFSET(Build!I$615,Build!P648,0),""))</f>
        <v/>
      </c>
      <c r="U49" s="358"/>
      <c r="V49" s="358"/>
      <c r="W49" s="358" t="str">
        <f aca="true">IF(H49=""," ",IF(OFFSET(Build!H$615,Build!P648,0)=" ","n/a","R+")&amp;OFFSET(Build!H$615,Build!P648,0))</f>
        <v> </v>
      </c>
      <c r="X49" s="358"/>
      <c r="Y49" s="358"/>
      <c r="Z49" s="358" t="str">
        <f aca="true">IF(H49=""," ",IF(OFFSET(Build!J$615,Build!P648,0)=" ","-",OFFSET(Build!J$615,Build!P648,0)))</f>
        <v> </v>
      </c>
      <c r="AA49" s="358"/>
      <c r="AB49" s="358" t="str">
        <f aca="true">IF(H49="","",OFFSET(Build!K$615,Build!P648,0))</f>
        <v/>
      </c>
      <c r="AC49" s="358"/>
      <c r="AD49" s="358"/>
      <c r="AE49" s="358"/>
      <c r="AF49" s="358"/>
      <c r="AG49" s="358"/>
      <c r="AH49" s="358" t="str">
        <f aca="true">IF(H49="","",MID(OFFSET(Build!M$615,Build!P648,0),1,1))</f>
        <v/>
      </c>
      <c r="AI49" s="358"/>
      <c r="AJ49" s="358" t="str">
        <f aca="true">IF(H49="","",MID(OFFSET(Build!M$615,Build!P648,0),5,1))</f>
        <v/>
      </c>
      <c r="AK49" s="358"/>
      <c r="AL49" s="385" t="str">
        <f aca="true">IF(H49="","",MID(OFFSET(Build!M$615,Build!P648,0),3,1))</f>
        <v/>
      </c>
      <c r="AM49" s="385"/>
    </row>
    <row r="50" customFormat="false" ht="11.1" hidden="false" customHeight="true" outlineLevel="0" collapsed="false">
      <c r="A50" s="379" t="n">
        <v>34</v>
      </c>
      <c r="B50" s="379"/>
      <c r="C50" s="361" t="str">
        <f aca="false">Tables!C39</f>
        <v>4d12 + d10</v>
      </c>
      <c r="D50" s="361"/>
      <c r="E50" s="361"/>
      <c r="F50" s="361"/>
      <c r="G50" s="361"/>
      <c r="H50" s="383" t="str">
        <f aca="true">IF(Build!P649,OFFSET(Build!D$615,Build!P649,0),"")</f>
        <v/>
      </c>
      <c r="I50" s="383"/>
      <c r="J50" s="383"/>
      <c r="K50" s="383"/>
      <c r="L50" s="383"/>
      <c r="M50" s="383"/>
      <c r="N50" s="383"/>
      <c r="O50" s="383"/>
      <c r="P50" s="383"/>
      <c r="Q50" s="383"/>
      <c r="R50" s="383"/>
      <c r="S50" s="383"/>
      <c r="T50" s="358" t="str">
        <f aca="true">IF(H50="","",TEXT(0,OFFSET(Build!E$615,Build!P649,0))&amp;IF(OFFSET(Build!I$615,Build!P649, 0)&gt;0,"+"&amp;OFFSET(Build!I$615,Build!P649,0),""))</f>
        <v/>
      </c>
      <c r="U50" s="358"/>
      <c r="V50" s="358"/>
      <c r="W50" s="358" t="str">
        <f aca="true">IF(H50=""," ",IF(OFFSET(Build!H$615,Build!P649,0)=" ","n/a","R+")&amp;OFFSET(Build!H$615,Build!P649,0))</f>
        <v> </v>
      </c>
      <c r="X50" s="358"/>
      <c r="Y50" s="358"/>
      <c r="Z50" s="358" t="str">
        <f aca="true">IF(H50=""," ",IF(OFFSET(Build!J$615,Build!P649,0)=" ","-",OFFSET(Build!J$615,Build!P649,0)))</f>
        <v> </v>
      </c>
      <c r="AA50" s="358"/>
      <c r="AB50" s="358" t="str">
        <f aca="true">IF(H50="","",OFFSET(Build!K$615,Build!P649,0))</f>
        <v/>
      </c>
      <c r="AC50" s="358"/>
      <c r="AD50" s="358"/>
      <c r="AE50" s="358"/>
      <c r="AF50" s="358"/>
      <c r="AG50" s="358"/>
      <c r="AH50" s="358" t="str">
        <f aca="true">IF(H50="","",MID(OFFSET(Build!M$615,Build!P649,0),1,1))</f>
        <v/>
      </c>
      <c r="AI50" s="358"/>
      <c r="AJ50" s="358" t="str">
        <f aca="true">IF(H50="","",MID(OFFSET(Build!M$615,Build!P649,0),5,1))</f>
        <v/>
      </c>
      <c r="AK50" s="358"/>
      <c r="AL50" s="385" t="str">
        <f aca="true">IF(H50="","",MID(OFFSET(Build!M$615,Build!P649,0),3,1))</f>
        <v/>
      </c>
      <c r="AM50" s="385"/>
    </row>
    <row r="51" customFormat="false" ht="11.1" hidden="false" customHeight="true" outlineLevel="0" collapsed="false">
      <c r="A51" s="379" t="n">
        <v>35</v>
      </c>
      <c r="B51" s="379"/>
      <c r="C51" s="361" t="str">
        <f aca="false">Tables!C40</f>
        <v>5d12</v>
      </c>
      <c r="D51" s="361"/>
      <c r="E51" s="361"/>
      <c r="F51" s="361"/>
      <c r="G51" s="361"/>
      <c r="H51" s="383" t="str">
        <f aca="true">IF(Build!P650,OFFSET(Build!D$615,Build!P650,0),"")</f>
        <v/>
      </c>
      <c r="I51" s="383"/>
      <c r="J51" s="383"/>
      <c r="K51" s="383"/>
      <c r="L51" s="383"/>
      <c r="M51" s="383"/>
      <c r="N51" s="383"/>
      <c r="O51" s="383"/>
      <c r="P51" s="383"/>
      <c r="Q51" s="383"/>
      <c r="R51" s="383"/>
      <c r="S51" s="383"/>
      <c r="T51" s="358" t="str">
        <f aca="true">IF(H51="","",TEXT(0,OFFSET(Build!E$615,Build!P650,0))&amp;IF(OFFSET(Build!I$615,Build!P650, 0)&gt;0,"+"&amp;OFFSET(Build!I$615,Build!P650,0),""))</f>
        <v/>
      </c>
      <c r="U51" s="358"/>
      <c r="V51" s="358"/>
      <c r="W51" s="358" t="str">
        <f aca="true">IF(H51=""," ",IF(OFFSET(Build!H$615,Build!P650,0)=" ","n/a","R+")&amp;OFFSET(Build!H$615,Build!P650,0))</f>
        <v> </v>
      </c>
      <c r="X51" s="358"/>
      <c r="Y51" s="358"/>
      <c r="Z51" s="358" t="str">
        <f aca="true">IF(H51=""," ",IF(OFFSET(Build!J$615,Build!P650,0)=" ","-",OFFSET(Build!J$615,Build!P650,0)))</f>
        <v> </v>
      </c>
      <c r="AA51" s="358"/>
      <c r="AB51" s="358" t="str">
        <f aca="true">IF(H51="","",OFFSET(Build!K$615,Build!P650,0))</f>
        <v/>
      </c>
      <c r="AC51" s="358"/>
      <c r="AD51" s="358"/>
      <c r="AE51" s="358"/>
      <c r="AF51" s="358"/>
      <c r="AG51" s="358"/>
      <c r="AH51" s="358" t="str">
        <f aca="true">IF(H51="","",MID(OFFSET(Build!M$615,Build!P650,0),1,1))</f>
        <v/>
      </c>
      <c r="AI51" s="358"/>
      <c r="AJ51" s="358" t="str">
        <f aca="true">IF(H51="","",MID(OFFSET(Build!M$615,Build!P650,0),5,1))</f>
        <v/>
      </c>
      <c r="AK51" s="358"/>
      <c r="AL51" s="385" t="str">
        <f aca="true">IF(H51="","",MID(OFFSET(Build!M$615,Build!P650,0),3,1))</f>
        <v/>
      </c>
      <c r="AM51" s="385"/>
    </row>
    <row r="52" customFormat="false" ht="11.1" hidden="false" customHeight="true" outlineLevel="0" collapsed="false">
      <c r="A52" s="379" t="n">
        <v>36</v>
      </c>
      <c r="B52" s="379"/>
      <c r="C52" s="361" t="str">
        <f aca="false">Tables!C41</f>
        <v>5d12 + 2d6</v>
      </c>
      <c r="D52" s="361"/>
      <c r="E52" s="361"/>
      <c r="F52" s="361"/>
      <c r="G52" s="361"/>
      <c r="H52" s="383" t="str">
        <f aca="true">IF(Build!P651,OFFSET(Build!D$615,Build!P651,0),"")</f>
        <v/>
      </c>
      <c r="I52" s="383"/>
      <c r="J52" s="383"/>
      <c r="K52" s="383"/>
      <c r="L52" s="383"/>
      <c r="M52" s="383"/>
      <c r="N52" s="383"/>
      <c r="O52" s="383"/>
      <c r="P52" s="383"/>
      <c r="Q52" s="383"/>
      <c r="R52" s="383"/>
      <c r="S52" s="383"/>
      <c r="T52" s="358" t="str">
        <f aca="true">IF(H52="","",TEXT(0,OFFSET(Build!E$615,Build!P651,0))&amp;IF(OFFSET(Build!I$615,Build!P651, 0)&gt;0,"+"&amp;OFFSET(Build!I$615,Build!P651,0),""))</f>
        <v/>
      </c>
      <c r="U52" s="358"/>
      <c r="V52" s="358"/>
      <c r="W52" s="358" t="str">
        <f aca="true">IF(H52=""," ",IF(OFFSET(Build!H$615,Build!P651,0)=" ","n/a","R+")&amp;OFFSET(Build!H$615,Build!P651,0))</f>
        <v> </v>
      </c>
      <c r="X52" s="358"/>
      <c r="Y52" s="358"/>
      <c r="Z52" s="358" t="str">
        <f aca="true">IF(H52=""," ",IF(OFFSET(Build!J$615,Build!P651,0)=" ","-",OFFSET(Build!J$615,Build!P651,0)))</f>
        <v> </v>
      </c>
      <c r="AA52" s="358"/>
      <c r="AB52" s="358" t="str">
        <f aca="true">IF(H52="","",OFFSET(Build!K$615,Build!P651,0))</f>
        <v/>
      </c>
      <c r="AC52" s="358"/>
      <c r="AD52" s="358"/>
      <c r="AE52" s="358"/>
      <c r="AF52" s="358"/>
      <c r="AG52" s="358"/>
      <c r="AH52" s="358" t="str">
        <f aca="true">IF(H52="","",MID(OFFSET(Build!M$615,Build!P651,0),1,1))</f>
        <v/>
      </c>
      <c r="AI52" s="358"/>
      <c r="AJ52" s="358" t="str">
        <f aca="true">IF(H52="","",MID(OFFSET(Build!M$615,Build!P651,0),5,1))</f>
        <v/>
      </c>
      <c r="AK52" s="358"/>
      <c r="AL52" s="385" t="str">
        <f aca="true">IF(H52="","",MID(OFFSET(Build!M$615,Build!P651,0),3,1))</f>
        <v/>
      </c>
      <c r="AM52" s="385"/>
    </row>
    <row r="53" customFormat="false" ht="11.1" hidden="false" customHeight="true" outlineLevel="0" collapsed="false">
      <c r="A53" s="379" t="n">
        <v>37</v>
      </c>
      <c r="B53" s="379"/>
      <c r="C53" s="361" t="str">
        <f aca="false">Tables!C42</f>
        <v>5d12 + d8 + d6</v>
      </c>
      <c r="D53" s="361"/>
      <c r="E53" s="361"/>
      <c r="F53" s="361"/>
      <c r="G53" s="361"/>
      <c r="H53" s="378" t="s">
        <v>1128</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customFormat="false" ht="11.1" hidden="false" customHeight="true" outlineLevel="0" collapsed="false">
      <c r="A54" s="379" t="n">
        <v>38</v>
      </c>
      <c r="B54" s="379"/>
      <c r="C54" s="361" t="str">
        <f aca="false">Tables!C43</f>
        <v>5d12 +2d8</v>
      </c>
      <c r="D54" s="361"/>
      <c r="E54" s="361"/>
      <c r="F54" s="361"/>
      <c r="G54" s="361"/>
      <c r="H54" s="380"/>
      <c r="I54" s="380"/>
      <c r="J54" s="380"/>
      <c r="K54" s="380"/>
      <c r="L54" s="380"/>
      <c r="M54" s="380"/>
      <c r="N54" s="380"/>
      <c r="O54" s="380"/>
      <c r="P54" s="380"/>
      <c r="Q54" s="381" t="s">
        <v>1129</v>
      </c>
      <c r="R54" s="381"/>
      <c r="S54" s="381"/>
      <c r="T54" s="381"/>
      <c r="U54" s="381"/>
      <c r="V54" s="381"/>
      <c r="W54" s="381" t="s">
        <v>230</v>
      </c>
      <c r="X54" s="381"/>
      <c r="Y54" s="381" t="s">
        <v>1130</v>
      </c>
      <c r="Z54" s="381"/>
      <c r="AA54" s="381"/>
      <c r="AB54" s="381"/>
      <c r="AC54" s="381"/>
      <c r="AD54" s="381"/>
      <c r="AE54" s="381" t="s">
        <v>338</v>
      </c>
      <c r="AF54" s="381"/>
      <c r="AG54" s="381"/>
      <c r="AH54" s="381"/>
      <c r="AI54" s="381"/>
      <c r="AJ54" s="381" t="s">
        <v>340</v>
      </c>
      <c r="AK54" s="381"/>
      <c r="AL54" s="382" t="s">
        <v>181</v>
      </c>
      <c r="AM54" s="382"/>
    </row>
    <row r="55" customFormat="false" ht="11.1" hidden="false" customHeight="true" outlineLevel="0" collapsed="false">
      <c r="A55" s="379" t="n">
        <v>39</v>
      </c>
      <c r="B55" s="379"/>
      <c r="C55" s="361" t="str">
        <f aca="false">Tables!C44</f>
        <v>5d12 + d10 + d8</v>
      </c>
      <c r="D55" s="361"/>
      <c r="E55" s="361"/>
      <c r="F55" s="361"/>
      <c r="G55" s="361"/>
      <c r="H55" s="383" t="str">
        <f aca="true">IF(Build!T617,OFFSET(Build!B$114,Build!T617,0)&amp;IF(OFFSET(Build!H$114,Build!T617,0)&lt;&gt;""," +"&amp;TEXT(0, OFFSET(Build!H$114, Build!T617,0)),""),"")</f>
        <v>Dagger</v>
      </c>
      <c r="I55" s="383"/>
      <c r="J55" s="383"/>
      <c r="K55" s="383"/>
      <c r="L55" s="383"/>
      <c r="M55" s="383"/>
      <c r="N55" s="383"/>
      <c r="O55" s="383"/>
      <c r="P55" s="383"/>
      <c r="Q55" s="375"/>
      <c r="R55" s="375"/>
      <c r="S55" s="358"/>
      <c r="T55" s="358"/>
      <c r="U55" s="358"/>
      <c r="V55" s="358"/>
      <c r="W55" s="358" t="str">
        <f aca="true">IF(AND(Build!T617,OFFSET(Build!G$114,Build!T617,0)&lt;&gt;0),"S+"&amp;OFFSET(Build!G$114,Build!T617,0)," ")</f>
        <v>S+2</v>
      </c>
      <c r="X55" s="358"/>
      <c r="Y55" s="358" t="str">
        <f aca="true">IF(Build!T617,TEXT(0,OFFSET(Build!N$114,Build!T617,0))," ")</f>
        <v>8</v>
      </c>
      <c r="Z55" s="358"/>
      <c r="AA55" s="358" t="str">
        <f aca="true">IF(Build!T617,OFFSET(Build!O$114,Build!T617,0)," ")</f>
        <v>2d6</v>
      </c>
      <c r="AB55" s="358"/>
      <c r="AC55" s="358"/>
      <c r="AD55" s="358"/>
      <c r="AE55" s="366" t="str">
        <f aca="true">IF(Build!T617,OFFSET(Build!I$114,Build!T617,0)," ")</f>
        <v>2 - 10 - 11 - 20</v>
      </c>
      <c r="AF55" s="366"/>
      <c r="AG55" s="366"/>
      <c r="AH55" s="366"/>
      <c r="AI55" s="366"/>
      <c r="AJ55" s="358" t="n">
        <f aca="true">IF(Build!T617,OFFSET(Build!L$114,Build!T617,0)," ")</f>
        <v>1</v>
      </c>
      <c r="AK55" s="358"/>
      <c r="AL55" s="385" t="n">
        <f aca="true">IF(Build!T617,OFFSET(Build!M$114,Build!T617,0)," ")</f>
        <v>1</v>
      </c>
      <c r="AM55" s="385"/>
    </row>
    <row r="56" customFormat="false" ht="11.1" hidden="false" customHeight="true" outlineLevel="0" collapsed="false">
      <c r="A56" s="379" t="n">
        <v>40</v>
      </c>
      <c r="B56" s="379"/>
      <c r="C56" s="361" t="str">
        <f aca="false">Tables!C45</f>
        <v>5d12 + 2d10</v>
      </c>
      <c r="D56" s="361"/>
      <c r="E56" s="361"/>
      <c r="F56" s="361"/>
      <c r="G56" s="361"/>
      <c r="H56" s="383" t="str">
        <f aca="true">IF(Build!T618,OFFSET(Build!B$114,Build!T618,0)&amp;IF(OFFSET(Build!H$114,Build!T618,0)&lt;&gt;""," +"&amp;TEXT(0, OFFSET(Build!H$114, Build!T618,0)),""),"")</f>
        <v>Quarterstaff</v>
      </c>
      <c r="I56" s="383"/>
      <c r="J56" s="383"/>
      <c r="K56" s="383"/>
      <c r="L56" s="383"/>
      <c r="M56" s="383"/>
      <c r="N56" s="383"/>
      <c r="O56" s="383"/>
      <c r="P56" s="383"/>
      <c r="Q56" s="375"/>
      <c r="R56" s="375"/>
      <c r="S56" s="358"/>
      <c r="T56" s="358"/>
      <c r="U56" s="358"/>
      <c r="V56" s="358"/>
      <c r="W56" s="358" t="str">
        <f aca="true">IF(AND(Build!T618,OFFSET(Build!G$114,Build!T618,0)&lt;&gt;0),"S+"&amp;OFFSET(Build!G$114,Build!T618,0)," ")</f>
        <v>S+4</v>
      </c>
      <c r="X56" s="358"/>
      <c r="Y56" s="358" t="str">
        <f aca="true">IF(Build!T618,TEXT(0,OFFSET(Build!N$114,Build!T618,0))," ")</f>
        <v/>
      </c>
      <c r="Z56" s="358"/>
      <c r="AA56" s="358" t="str">
        <f aca="true">IF(Build!T618,OFFSET(Build!O$114,Build!T618,0)," ")</f>
        <v>2d8</v>
      </c>
      <c r="AB56" s="358"/>
      <c r="AC56" s="358"/>
      <c r="AD56" s="358"/>
      <c r="AE56" s="366" t="str">
        <f aca="true">IF(Build!T618,OFFSET(Build!I$114,Build!T618,0)," ")</f>
        <v>-</v>
      </c>
      <c r="AF56" s="366"/>
      <c r="AG56" s="366"/>
      <c r="AH56" s="366"/>
      <c r="AI56" s="366"/>
      <c r="AJ56" s="358" t="n">
        <f aca="true">IF(Build!T618,OFFSET(Build!L$114,Build!T618,0)," ")</f>
        <v>5</v>
      </c>
      <c r="AK56" s="358"/>
      <c r="AL56" s="385" t="n">
        <f aca="true">IF(Build!T618,OFFSET(Build!M$114,Build!T618,0)," ")</f>
        <v>4</v>
      </c>
      <c r="AM56" s="385"/>
    </row>
    <row r="57" customFormat="false" ht="11.1" hidden="false" customHeight="true" outlineLevel="0" collapsed="false">
      <c r="A57" s="379" t="n">
        <v>41</v>
      </c>
      <c r="B57" s="379"/>
      <c r="C57" s="361" t="str">
        <f aca="false">Tables!C46</f>
        <v>6d12 + d10</v>
      </c>
      <c r="D57" s="361"/>
      <c r="E57" s="361"/>
      <c r="F57" s="361"/>
      <c r="G57" s="361"/>
      <c r="H57" s="383" t="str">
        <f aca="true">IF(Build!T619,OFFSET(Build!B$114,Build!T619,0)&amp;IF(OFFSET(Build!H$114,Build!T619,0)&lt;&gt;""," +"&amp;TEXT(0, OFFSET(Build!H$114, Build!T619,0)),""),"")</f>
        <v>Thread broadsword</v>
      </c>
      <c r="I57" s="383"/>
      <c r="J57" s="383"/>
      <c r="K57" s="383"/>
      <c r="L57" s="383"/>
      <c r="M57" s="383"/>
      <c r="N57" s="383"/>
      <c r="O57" s="383"/>
      <c r="P57" s="383"/>
      <c r="Q57" s="375"/>
      <c r="R57" s="375"/>
      <c r="S57" s="358"/>
      <c r="T57" s="358"/>
      <c r="U57" s="358"/>
      <c r="V57" s="358"/>
      <c r="W57" s="358" t="str">
        <f aca="true">IF(AND(Build!T619,OFFSET(Build!G$114,Build!T619,0)&lt;&gt;0),"S+"&amp;OFFSET(Build!G$114,Build!T619,0)," ")</f>
        <v>S+10</v>
      </c>
      <c r="X57" s="358"/>
      <c r="Y57" s="358" t="str">
        <f aca="true">IF(Build!T619,TEXT(0,OFFSET(Build!N$114,Build!T619,0))," ")</f>
        <v>16</v>
      </c>
      <c r="Z57" s="358"/>
      <c r="AA57" s="358" t="str">
        <f aca="true">IF(Build!T619,OFFSET(Build!O$114,Build!T619,0)," ")</f>
        <v>d12 +d8 + d6</v>
      </c>
      <c r="AB57" s="358"/>
      <c r="AC57" s="358"/>
      <c r="AD57" s="358"/>
      <c r="AE57" s="366" t="str">
        <f aca="true">IF(Build!T619,OFFSET(Build!I$114,Build!T619,0)," ")</f>
        <v>-</v>
      </c>
      <c r="AF57" s="366"/>
      <c r="AG57" s="366"/>
      <c r="AH57" s="366"/>
      <c r="AI57" s="366"/>
      <c r="AJ57" s="358" t="n">
        <f aca="true">IF(Build!T619,OFFSET(Build!L$114,Build!T619,0)," ")</f>
        <v>3</v>
      </c>
      <c r="AK57" s="358"/>
      <c r="AL57" s="385" t="n">
        <f aca="true">IF(Build!T619,OFFSET(Build!M$114,Build!T619,0)," ")</f>
        <v>4</v>
      </c>
      <c r="AM57" s="385"/>
    </row>
    <row r="58" customFormat="false" ht="11.1" hidden="false" customHeight="true" outlineLevel="0" collapsed="false">
      <c r="A58" s="379" t="n">
        <v>42</v>
      </c>
      <c r="B58" s="379"/>
      <c r="C58" s="361" t="str">
        <f aca="false">Tables!C47</f>
        <v>7d12</v>
      </c>
      <c r="D58" s="361"/>
      <c r="E58" s="361"/>
      <c r="F58" s="361"/>
      <c r="G58" s="361"/>
      <c r="H58" s="383" t="str">
        <f aca="true">IF(Build!T620,OFFSET(Build!B$114,Build!T620,0)&amp;IF(OFFSET(Build!H$114,Build!T620,0)&lt;&gt;""," +"&amp;TEXT(0, OFFSET(Build!H$114, Build!T620,0)),""),"")</f>
        <v/>
      </c>
      <c r="I58" s="383"/>
      <c r="J58" s="383"/>
      <c r="K58" s="383"/>
      <c r="L58" s="383"/>
      <c r="M58" s="383"/>
      <c r="N58" s="383"/>
      <c r="O58" s="383"/>
      <c r="P58" s="383"/>
      <c r="Q58" s="375"/>
      <c r="R58" s="375"/>
      <c r="S58" s="358"/>
      <c r="T58" s="358"/>
      <c r="U58" s="358"/>
      <c r="V58" s="358"/>
      <c r="W58" s="358" t="str">
        <f aca="true">IF(AND(Build!T620,OFFSET(Build!G$114,Build!T620,0)&lt;&gt;0),"S+"&amp;OFFSET(Build!G$114,Build!T620,0)," ")</f>
        <v> </v>
      </c>
      <c r="X58" s="358"/>
      <c r="Y58" s="358" t="str">
        <f aca="true">IF(Build!T620,TEXT(0,OFFSET(Build!N$114,Build!T620,0))," ")</f>
        <v> </v>
      </c>
      <c r="Z58" s="358"/>
      <c r="AA58" s="358" t="str">
        <f aca="true">IF(Build!T620,OFFSET(Build!O$114,Build!T620,0)," ")</f>
        <v> </v>
      </c>
      <c r="AB58" s="358"/>
      <c r="AC58" s="358"/>
      <c r="AD58" s="358"/>
      <c r="AE58" s="366" t="str">
        <f aca="true">IF(Build!T620,OFFSET(Build!I$114,Build!T620,0)," ")</f>
        <v> </v>
      </c>
      <c r="AF58" s="366"/>
      <c r="AG58" s="366"/>
      <c r="AH58" s="366"/>
      <c r="AI58" s="366"/>
      <c r="AJ58" s="358" t="str">
        <f aca="true">IF(Build!T620,OFFSET(Build!L$114,Build!T620,0)," ")</f>
        <v> </v>
      </c>
      <c r="AK58" s="358"/>
      <c r="AL58" s="385" t="str">
        <f aca="true">IF(Build!T620,OFFSET(Build!M$114,Build!T620,0)," ")</f>
        <v> </v>
      </c>
      <c r="AM58" s="385"/>
      <c r="AN58" s="210"/>
    </row>
    <row r="59" customFormat="false" ht="11.1" hidden="false" customHeight="true" outlineLevel="0" collapsed="false">
      <c r="A59" s="379" t="n">
        <v>43</v>
      </c>
      <c r="B59" s="379"/>
      <c r="C59" s="361" t="str">
        <f aca="false">Tables!C48</f>
        <v>7d12 + 2d6</v>
      </c>
      <c r="D59" s="361"/>
      <c r="E59" s="361"/>
      <c r="F59" s="361"/>
      <c r="G59" s="361"/>
      <c r="H59" s="383" t="str">
        <f aca="true">IF(Build!T621,OFFSET(Build!B$114,Build!T621,0)&amp;IF(OFFSET(Build!H$114,Build!T621,0)&lt;&gt;""," +"&amp;TEXT(0, OFFSET(Build!H$114, Build!T621,0)),""),"")</f>
        <v/>
      </c>
      <c r="I59" s="383"/>
      <c r="J59" s="383"/>
      <c r="K59" s="383"/>
      <c r="L59" s="383"/>
      <c r="M59" s="383"/>
      <c r="N59" s="383"/>
      <c r="O59" s="383"/>
      <c r="P59" s="383"/>
      <c r="Q59" s="375"/>
      <c r="R59" s="375"/>
      <c r="S59" s="358"/>
      <c r="T59" s="358"/>
      <c r="U59" s="358"/>
      <c r="V59" s="358"/>
      <c r="W59" s="358" t="str">
        <f aca="true">IF(AND(Build!T621,OFFSET(Build!G$114,Build!T621,0)&lt;&gt;0),"S+"&amp;OFFSET(Build!G$114,Build!T621,0)," ")</f>
        <v> </v>
      </c>
      <c r="X59" s="358"/>
      <c r="Y59" s="358" t="str">
        <f aca="true">IF(Build!T621,TEXT(0,OFFSET(Build!N$114,Build!T621,0))," ")</f>
        <v> </v>
      </c>
      <c r="Z59" s="358"/>
      <c r="AA59" s="358" t="str">
        <f aca="true">IF(Build!T621,OFFSET(Build!O$114,Build!T621,0)," ")</f>
        <v> </v>
      </c>
      <c r="AB59" s="358"/>
      <c r="AC59" s="358"/>
      <c r="AD59" s="358"/>
      <c r="AE59" s="366" t="str">
        <f aca="true">IF(Build!T621,OFFSET(Build!I$114,Build!T621,0)," ")</f>
        <v> </v>
      </c>
      <c r="AF59" s="366"/>
      <c r="AG59" s="366"/>
      <c r="AH59" s="366"/>
      <c r="AI59" s="366"/>
      <c r="AJ59" s="358" t="str">
        <f aca="true">IF(Build!T621,OFFSET(Build!L$114,Build!T621,0)," ")</f>
        <v> </v>
      </c>
      <c r="AK59" s="358"/>
      <c r="AL59" s="385" t="str">
        <f aca="true">IF(Build!T621,OFFSET(Build!M$114,Build!T621,0)," ")</f>
        <v> </v>
      </c>
      <c r="AM59" s="385"/>
      <c r="AN59" s="210"/>
    </row>
    <row r="60" customFormat="false" ht="11.1" hidden="false" customHeight="true" outlineLevel="0" collapsed="false">
      <c r="A60" s="379" t="n">
        <v>44</v>
      </c>
      <c r="B60" s="379"/>
      <c r="C60" s="361" t="str">
        <f aca="false">Tables!C49</f>
        <v>7d12 +d10 + d6</v>
      </c>
      <c r="D60" s="361"/>
      <c r="E60" s="361"/>
      <c r="F60" s="361"/>
      <c r="G60" s="361"/>
      <c r="H60" s="383" t="str">
        <f aca="true">IF(Build!T622,OFFSET(Build!B$114,Build!T622,0)&amp;IF(OFFSET(Build!H$114,Build!T622,0)&lt;&gt;""," +"&amp;TEXT(0, OFFSET(Build!H$114, Build!T622,0)),""),"")</f>
        <v/>
      </c>
      <c r="I60" s="383"/>
      <c r="J60" s="383"/>
      <c r="K60" s="383"/>
      <c r="L60" s="383"/>
      <c r="M60" s="383"/>
      <c r="N60" s="383"/>
      <c r="O60" s="383"/>
      <c r="P60" s="383"/>
      <c r="Q60" s="375"/>
      <c r="R60" s="375"/>
      <c r="S60" s="358"/>
      <c r="T60" s="358"/>
      <c r="U60" s="358"/>
      <c r="V60" s="358"/>
      <c r="W60" s="358" t="str">
        <f aca="true">IF(AND(Build!T622,OFFSET(Build!G$114,Build!T622,0)&lt;&gt;0),"S+"&amp;OFFSET(Build!G$114,Build!T622,0)," ")</f>
        <v> </v>
      </c>
      <c r="X60" s="358"/>
      <c r="Y60" s="358" t="str">
        <f aca="true">IF(Build!T622,TEXT(0,OFFSET(Build!N$114,Build!T622,0))," ")</f>
        <v> </v>
      </c>
      <c r="Z60" s="358"/>
      <c r="AA60" s="358" t="str">
        <f aca="true">IF(Build!T622,OFFSET(Build!O$114,Build!T622,0)," ")</f>
        <v> </v>
      </c>
      <c r="AB60" s="358"/>
      <c r="AC60" s="358"/>
      <c r="AD60" s="358"/>
      <c r="AE60" s="366" t="str">
        <f aca="true">IF(Build!T622,OFFSET(Build!I$114,Build!T622,0)," ")</f>
        <v> </v>
      </c>
      <c r="AF60" s="366"/>
      <c r="AG60" s="366"/>
      <c r="AH60" s="366"/>
      <c r="AI60" s="366"/>
      <c r="AJ60" s="358" t="str">
        <f aca="true">IF(Build!T622,OFFSET(Build!L$114,Build!T622,0)," ")</f>
        <v> </v>
      </c>
      <c r="AK60" s="358"/>
      <c r="AL60" s="385" t="str">
        <f aca="true">IF(Build!T622,OFFSET(Build!M$114,Build!T622,0)," ")</f>
        <v> </v>
      </c>
      <c r="AM60" s="385"/>
      <c r="AN60" s="210"/>
    </row>
    <row r="61" customFormat="false" ht="11.1" hidden="false" customHeight="true" outlineLevel="0" collapsed="false">
      <c r="A61" s="379" t="n">
        <v>45</v>
      </c>
      <c r="B61" s="379"/>
      <c r="C61" s="361" t="str">
        <f aca="false">Tables!C50</f>
        <v>7d12 + 2d10</v>
      </c>
      <c r="D61" s="361"/>
      <c r="E61" s="361"/>
      <c r="F61" s="361"/>
      <c r="G61" s="361"/>
      <c r="H61" s="383" t="s">
        <v>1131</v>
      </c>
      <c r="I61" s="383"/>
      <c r="J61" s="383"/>
      <c r="K61" s="383"/>
      <c r="L61" s="383"/>
      <c r="M61" s="383"/>
      <c r="N61" s="383"/>
      <c r="O61" s="383"/>
      <c r="P61" s="383"/>
      <c r="Q61" s="375"/>
      <c r="R61" s="375"/>
      <c r="S61" s="358"/>
      <c r="T61" s="358"/>
      <c r="U61" s="358"/>
      <c r="V61" s="358"/>
      <c r="W61" s="358" t="s">
        <v>270</v>
      </c>
      <c r="X61" s="358"/>
      <c r="Y61" s="358" t="n">
        <f aca="false">U5</f>
        <v>6</v>
      </c>
      <c r="Z61" s="358"/>
      <c r="AA61" s="358" t="str">
        <f aca="false">W5</f>
        <v>d10</v>
      </c>
      <c r="AB61" s="358"/>
      <c r="AC61" s="358"/>
      <c r="AD61" s="358"/>
      <c r="AE61" s="358" t="s">
        <v>1132</v>
      </c>
      <c r="AF61" s="358"/>
      <c r="AG61" s="358"/>
      <c r="AH61" s="358"/>
      <c r="AI61" s="358"/>
      <c r="AJ61" s="358" t="s">
        <v>1132</v>
      </c>
      <c r="AK61" s="358"/>
      <c r="AL61" s="385" t="s">
        <v>1132</v>
      </c>
      <c r="AM61" s="385"/>
      <c r="AN61" s="210"/>
    </row>
    <row r="62" customFormat="false" ht="11.1" hidden="false" customHeight="true" outlineLevel="0" collapsed="false">
      <c r="A62" s="379" t="n">
        <v>46</v>
      </c>
      <c r="B62" s="379"/>
      <c r="C62" s="361" t="str">
        <f aca="false">Tables!C51</f>
        <v>8d12 + d10</v>
      </c>
      <c r="D62" s="361"/>
      <c r="E62" s="361"/>
      <c r="F62" s="361"/>
      <c r="G62" s="361"/>
      <c r="H62" s="386" t="s">
        <v>859</v>
      </c>
      <c r="I62" s="386"/>
      <c r="J62" s="386"/>
      <c r="K62" s="386"/>
      <c r="L62" s="386"/>
      <c r="M62" s="386"/>
      <c r="N62" s="386"/>
      <c r="O62" s="386"/>
      <c r="P62" s="387" t="s">
        <v>1133</v>
      </c>
      <c r="Q62" s="387"/>
      <c r="R62" s="387"/>
      <c r="S62" s="387"/>
      <c r="T62" s="387"/>
      <c r="U62" s="387"/>
      <c r="V62" s="387"/>
      <c r="W62" s="387"/>
      <c r="X62" s="387" t="s">
        <v>860</v>
      </c>
      <c r="Y62" s="387"/>
      <c r="Z62" s="387"/>
      <c r="AA62" s="387"/>
      <c r="AB62" s="387"/>
      <c r="AC62" s="387"/>
      <c r="AD62" s="387"/>
      <c r="AE62" s="387"/>
      <c r="AF62" s="388" t="s">
        <v>239</v>
      </c>
      <c r="AG62" s="388"/>
      <c r="AH62" s="388"/>
      <c r="AI62" s="388"/>
      <c r="AJ62" s="388"/>
      <c r="AK62" s="388"/>
      <c r="AL62" s="388"/>
      <c r="AM62" s="388"/>
      <c r="AN62" s="210"/>
    </row>
    <row r="63" customFormat="false" ht="11.1" hidden="false" customHeight="true" outlineLevel="0" collapsed="false">
      <c r="A63" s="379" t="n">
        <v>47</v>
      </c>
      <c r="B63" s="379"/>
      <c r="C63" s="361" t="str">
        <f aca="false">Tables!C52</f>
        <v>9d12</v>
      </c>
      <c r="D63" s="361"/>
      <c r="E63" s="361"/>
      <c r="F63" s="361"/>
      <c r="G63" s="361"/>
      <c r="H63" s="389"/>
      <c r="I63" s="389"/>
      <c r="J63" s="389"/>
      <c r="K63" s="389"/>
      <c r="L63" s="389"/>
      <c r="M63" s="389"/>
      <c r="N63" s="389"/>
      <c r="O63" s="389"/>
      <c r="P63" s="354"/>
      <c r="Q63" s="354"/>
      <c r="R63" s="354"/>
      <c r="S63" s="354"/>
      <c r="T63" s="354"/>
      <c r="U63" s="354"/>
      <c r="V63" s="354"/>
      <c r="W63" s="354"/>
      <c r="X63" s="354" t="str">
        <f aca="true">OFFSET(AttribUncRating,Toughness,0)+Build!D601&amp;" ("&amp;OFFSET(AttribUncRating,Toughness,0)+Build!D601-H65&amp;")"</f>
        <v>68 (60)</v>
      </c>
      <c r="Y63" s="354"/>
      <c r="Z63" s="354"/>
      <c r="AA63" s="354"/>
      <c r="AB63" s="354"/>
      <c r="AC63" s="354"/>
      <c r="AD63" s="354"/>
      <c r="AE63" s="354"/>
      <c r="AF63" s="390" t="e">
        <f aca="false">REC</f>
        <v>#VALUE!</v>
      </c>
      <c r="AG63" s="390"/>
      <c r="AH63" s="390"/>
      <c r="AI63" s="390"/>
      <c r="AJ63" s="390"/>
      <c r="AK63" s="390"/>
      <c r="AL63" s="390"/>
      <c r="AM63" s="390"/>
      <c r="AN63" s="210"/>
    </row>
    <row r="64" customFormat="false" ht="11.1" hidden="false" customHeight="true" outlineLevel="0" collapsed="false">
      <c r="A64" s="379" t="n">
        <v>48</v>
      </c>
      <c r="B64" s="379"/>
      <c r="C64" s="361" t="str">
        <f aca="false">Tables!C53</f>
        <v>9d12 + 2d6</v>
      </c>
      <c r="D64" s="361"/>
      <c r="E64" s="361"/>
      <c r="F64" s="361"/>
      <c r="G64" s="361"/>
      <c r="H64" s="391" t="s">
        <v>25</v>
      </c>
      <c r="I64" s="391"/>
      <c r="J64" s="391"/>
      <c r="K64" s="391"/>
      <c r="L64" s="391"/>
      <c r="M64" s="391"/>
      <c r="N64" s="391"/>
      <c r="O64" s="391"/>
      <c r="P64" s="392" t="s">
        <v>243</v>
      </c>
      <c r="Q64" s="392"/>
      <c r="R64" s="392"/>
      <c r="S64" s="392"/>
      <c r="T64" s="392"/>
      <c r="U64" s="392"/>
      <c r="V64" s="392"/>
      <c r="W64" s="392"/>
      <c r="X64" s="392" t="s">
        <v>866</v>
      </c>
      <c r="Y64" s="392"/>
      <c r="Z64" s="392"/>
      <c r="AA64" s="392"/>
      <c r="AB64" s="392"/>
      <c r="AC64" s="392"/>
      <c r="AD64" s="392"/>
      <c r="AE64" s="392"/>
      <c r="AF64" s="393" t="s">
        <v>1134</v>
      </c>
      <c r="AG64" s="393"/>
      <c r="AH64" s="393"/>
      <c r="AI64" s="393"/>
      <c r="AJ64" s="393"/>
      <c r="AK64" s="393"/>
      <c r="AL64" s="393"/>
      <c r="AM64" s="393"/>
      <c r="AN64" s="210"/>
    </row>
    <row r="65" customFormat="false" ht="11.1" hidden="false" customHeight="true" outlineLevel="0" collapsed="false">
      <c r="A65" s="394" t="n">
        <v>49</v>
      </c>
      <c r="B65" s="394"/>
      <c r="C65" s="361" t="str">
        <f aca="false">Tables!C54</f>
        <v>9d12 +d8 + d6</v>
      </c>
      <c r="D65" s="361"/>
      <c r="E65" s="361"/>
      <c r="F65" s="361"/>
      <c r="G65" s="361"/>
      <c r="H65" s="395" t="n">
        <f aca="false">Build!BL661</f>
        <v>8</v>
      </c>
      <c r="I65" s="395"/>
      <c r="J65" s="395"/>
      <c r="K65" s="395"/>
      <c r="L65" s="395"/>
      <c r="M65" s="395"/>
      <c r="N65" s="395"/>
      <c r="O65" s="395"/>
      <c r="P65" s="396" t="n">
        <f aca="false">WND</f>
        <v>10</v>
      </c>
      <c r="Q65" s="396"/>
      <c r="R65" s="396"/>
      <c r="S65" s="396"/>
      <c r="T65" s="396"/>
      <c r="U65" s="396"/>
      <c r="V65" s="396"/>
      <c r="W65" s="396"/>
      <c r="X65" s="396" t="str">
        <f aca="true">OFFSET(AttribDeathRating,Toughness,0)+Build!C601&amp;" ("&amp;OFFSET(AttribDeathRating,Toughness,0)+Build!C601-H65&amp;")"</f>
        <v>84 (76)</v>
      </c>
      <c r="Y65" s="396"/>
      <c r="Z65" s="396"/>
      <c r="AA65" s="396"/>
      <c r="AB65" s="396"/>
      <c r="AC65" s="396"/>
      <c r="AD65" s="396"/>
      <c r="AE65" s="396"/>
      <c r="AF65" s="397" t="str">
        <f aca="true">OFFSET(ActionDice,RecStep,0)</f>
        <v>d10</v>
      </c>
      <c r="AG65" s="397"/>
      <c r="AH65" s="397"/>
      <c r="AI65" s="397"/>
      <c r="AJ65" s="397"/>
      <c r="AK65" s="397"/>
      <c r="AL65" s="397"/>
      <c r="AM65" s="397"/>
      <c r="AN65" s="210"/>
    </row>
  </sheetData>
  <mergeCells count="556">
    <mergeCell ref="A1:AM1"/>
    <mergeCell ref="A2:M2"/>
    <mergeCell ref="N2:Z2"/>
    <mergeCell ref="AA2:AM2"/>
    <mergeCell ref="A3:M3"/>
    <mergeCell ref="N3:R3"/>
    <mergeCell ref="S3:T3"/>
    <mergeCell ref="U3:V3"/>
    <mergeCell ref="W3:Y3"/>
    <mergeCell ref="AA3:AH3"/>
    <mergeCell ref="AI3:AL3"/>
    <mergeCell ref="A4:M4"/>
    <mergeCell ref="O4:R4"/>
    <mergeCell ref="S4:T4"/>
    <mergeCell ref="U4:V4"/>
    <mergeCell ref="W4:Y4"/>
    <mergeCell ref="AA4:AH4"/>
    <mergeCell ref="AI4:AL4"/>
    <mergeCell ref="A5:F5"/>
    <mergeCell ref="G5:M5"/>
    <mergeCell ref="O5:R5"/>
    <mergeCell ref="S5:T5"/>
    <mergeCell ref="U5:V5"/>
    <mergeCell ref="W5:Y5"/>
    <mergeCell ref="AA5:AH5"/>
    <mergeCell ref="AI5:AL5"/>
    <mergeCell ref="A6:F6"/>
    <mergeCell ref="G6:M6"/>
    <mergeCell ref="O6:R6"/>
    <mergeCell ref="S6:T6"/>
    <mergeCell ref="U6:V6"/>
    <mergeCell ref="W6:Y6"/>
    <mergeCell ref="AA6:AH6"/>
    <mergeCell ref="AI6:AJ6"/>
    <mergeCell ref="AK6:AL6"/>
    <mergeCell ref="A7:F7"/>
    <mergeCell ref="G7:M7"/>
    <mergeCell ref="N7:Z7"/>
    <mergeCell ref="AA7:AM7"/>
    <mergeCell ref="A8:F8"/>
    <mergeCell ref="G8:M8"/>
    <mergeCell ref="O8:R8"/>
    <mergeCell ref="S8:T8"/>
    <mergeCell ref="U8:V8"/>
    <mergeCell ref="W8:Y8"/>
    <mergeCell ref="AA8:AH8"/>
    <mergeCell ref="AI8:AL8"/>
    <mergeCell ref="A9:K9"/>
    <mergeCell ref="L9:M9"/>
    <mergeCell ref="O9:R9"/>
    <mergeCell ref="S9:T9"/>
    <mergeCell ref="U9:V9"/>
    <mergeCell ref="W9:Y9"/>
    <mergeCell ref="AA9:AH9"/>
    <mergeCell ref="AI9:AL9"/>
    <mergeCell ref="A10:K10"/>
    <mergeCell ref="L10:M10"/>
    <mergeCell ref="O10:R10"/>
    <mergeCell ref="S10:T10"/>
    <mergeCell ref="U10:V10"/>
    <mergeCell ref="W10:Y10"/>
    <mergeCell ref="AA10:AM10"/>
    <mergeCell ref="A11:K11"/>
    <mergeCell ref="L11:M11"/>
    <mergeCell ref="N11:Z13"/>
    <mergeCell ref="AA11:AH11"/>
    <mergeCell ref="AI11:AJ11"/>
    <mergeCell ref="AK11:AL11"/>
    <mergeCell ref="A12:K12"/>
    <mergeCell ref="L12:M12"/>
    <mergeCell ref="AA12:AF12"/>
    <mergeCell ref="AJ12:AL12"/>
    <mergeCell ref="A13:K13"/>
    <mergeCell ref="L13:M13"/>
    <mergeCell ref="AA13:AF13"/>
    <mergeCell ref="AJ13:AL13"/>
    <mergeCell ref="A14:AM14"/>
    <mergeCell ref="A15:G15"/>
    <mergeCell ref="H15:T15"/>
    <mergeCell ref="U15:AC15"/>
    <mergeCell ref="AD15:AM15"/>
    <mergeCell ref="A16:G16"/>
    <mergeCell ref="H16:AM16"/>
    <mergeCell ref="A17:B17"/>
    <mergeCell ref="C17:G17"/>
    <mergeCell ref="H17:S17"/>
    <mergeCell ref="T17:V17"/>
    <mergeCell ref="W17:Y17"/>
    <mergeCell ref="Z17:AA17"/>
    <mergeCell ref="AB17:AG17"/>
    <mergeCell ref="AH17:AI17"/>
    <mergeCell ref="AJ17:AK17"/>
    <mergeCell ref="AL17:AM17"/>
    <mergeCell ref="A18:B18"/>
    <mergeCell ref="C18:G18"/>
    <mergeCell ref="H18:S18"/>
    <mergeCell ref="T18:V18"/>
    <mergeCell ref="W18:Y18"/>
    <mergeCell ref="Z18:AA18"/>
    <mergeCell ref="AB18:AG18"/>
    <mergeCell ref="AH18:AI18"/>
    <mergeCell ref="AJ18:AK18"/>
    <mergeCell ref="AL18:AM18"/>
    <mergeCell ref="A19:B19"/>
    <mergeCell ref="C19:G19"/>
    <mergeCell ref="H19:S19"/>
    <mergeCell ref="T19:V19"/>
    <mergeCell ref="W19:Y19"/>
    <mergeCell ref="Z19:AA19"/>
    <mergeCell ref="AB19:AG19"/>
    <mergeCell ref="AH19:AI19"/>
    <mergeCell ref="AJ19:AK19"/>
    <mergeCell ref="AL19:AM19"/>
    <mergeCell ref="A20:B20"/>
    <mergeCell ref="C20:G20"/>
    <mergeCell ref="H20:S20"/>
    <mergeCell ref="T20:V20"/>
    <mergeCell ref="W20:Y20"/>
    <mergeCell ref="Z20:AA20"/>
    <mergeCell ref="AB20:AG20"/>
    <mergeCell ref="AH20:AI20"/>
    <mergeCell ref="AJ20:AK20"/>
    <mergeCell ref="AL20:AM20"/>
    <mergeCell ref="A21:B21"/>
    <mergeCell ref="C21:G21"/>
    <mergeCell ref="H21:S21"/>
    <mergeCell ref="T21:V21"/>
    <mergeCell ref="W21:Y21"/>
    <mergeCell ref="Z21:AA21"/>
    <mergeCell ref="AB21:AG21"/>
    <mergeCell ref="AH21:AI21"/>
    <mergeCell ref="AJ21:AK21"/>
    <mergeCell ref="AL21:AM21"/>
    <mergeCell ref="A22:B22"/>
    <mergeCell ref="C22:G22"/>
    <mergeCell ref="H22:S22"/>
    <mergeCell ref="T22:V22"/>
    <mergeCell ref="W22:Y22"/>
    <mergeCell ref="Z22:AA22"/>
    <mergeCell ref="AB22:AG22"/>
    <mergeCell ref="AH22:AI22"/>
    <mergeCell ref="AJ22:AK22"/>
    <mergeCell ref="AL22:AM22"/>
    <mergeCell ref="A23:B23"/>
    <mergeCell ref="C23:G23"/>
    <mergeCell ref="H23:S23"/>
    <mergeCell ref="T23:V23"/>
    <mergeCell ref="W23:Y23"/>
    <mergeCell ref="Z23:AA23"/>
    <mergeCell ref="AB23:AG23"/>
    <mergeCell ref="AH23:AI23"/>
    <mergeCell ref="AJ23:AK23"/>
    <mergeCell ref="AL23:AM23"/>
    <mergeCell ref="A24:B24"/>
    <mergeCell ref="C24:G24"/>
    <mergeCell ref="H24:S24"/>
    <mergeCell ref="T24:V24"/>
    <mergeCell ref="W24:Y24"/>
    <mergeCell ref="Z24:AA24"/>
    <mergeCell ref="AB24:AG24"/>
    <mergeCell ref="AH24:AI24"/>
    <mergeCell ref="AJ24:AK24"/>
    <mergeCell ref="AL24:AM24"/>
    <mergeCell ref="A25:B25"/>
    <mergeCell ref="C25:G25"/>
    <mergeCell ref="H25:S25"/>
    <mergeCell ref="T25:V25"/>
    <mergeCell ref="W25:Y25"/>
    <mergeCell ref="Z25:AA25"/>
    <mergeCell ref="AB25:AG25"/>
    <mergeCell ref="AH25:AI25"/>
    <mergeCell ref="AJ25:AK25"/>
    <mergeCell ref="AL25:AM25"/>
    <mergeCell ref="A26:B26"/>
    <mergeCell ref="C26:G26"/>
    <mergeCell ref="H26:S26"/>
    <mergeCell ref="T26:V26"/>
    <mergeCell ref="W26:Y26"/>
    <mergeCell ref="Z26:AA26"/>
    <mergeCell ref="AB26:AG26"/>
    <mergeCell ref="AH26:AI26"/>
    <mergeCell ref="AJ26:AK26"/>
    <mergeCell ref="AL26:AM26"/>
    <mergeCell ref="A27:B27"/>
    <mergeCell ref="C27:G27"/>
    <mergeCell ref="H27:S27"/>
    <mergeCell ref="T27:V27"/>
    <mergeCell ref="W27:Y27"/>
    <mergeCell ref="Z27:AA27"/>
    <mergeCell ref="AB27:AG27"/>
    <mergeCell ref="AH27:AI27"/>
    <mergeCell ref="AJ27:AK27"/>
    <mergeCell ref="AL27:AM27"/>
    <mergeCell ref="A28:B28"/>
    <mergeCell ref="C28:G28"/>
    <mergeCell ref="H28:S28"/>
    <mergeCell ref="T28:V28"/>
    <mergeCell ref="W28:Y28"/>
    <mergeCell ref="Z28:AA28"/>
    <mergeCell ref="AB28:AG28"/>
    <mergeCell ref="AH28:AI28"/>
    <mergeCell ref="AJ28:AK28"/>
    <mergeCell ref="AL28:AM28"/>
    <mergeCell ref="A29:B29"/>
    <mergeCell ref="C29:G29"/>
    <mergeCell ref="H29:S29"/>
    <mergeCell ref="T29:V29"/>
    <mergeCell ref="W29:Y29"/>
    <mergeCell ref="Z29:AA29"/>
    <mergeCell ref="AB29:AG29"/>
    <mergeCell ref="AH29:AI29"/>
    <mergeCell ref="AJ29:AK29"/>
    <mergeCell ref="AL29:AM29"/>
    <mergeCell ref="A30:B30"/>
    <mergeCell ref="C30:G30"/>
    <mergeCell ref="H30:S30"/>
    <mergeCell ref="T30:V30"/>
    <mergeCell ref="W30:Y30"/>
    <mergeCell ref="Z30:AA30"/>
    <mergeCell ref="AB30:AG30"/>
    <mergeCell ref="AH30:AI30"/>
    <mergeCell ref="AJ30:AK30"/>
    <mergeCell ref="AL30:AM30"/>
    <mergeCell ref="A31:B31"/>
    <mergeCell ref="C31:G31"/>
    <mergeCell ref="H31:S31"/>
    <mergeCell ref="T31:V31"/>
    <mergeCell ref="W31:Y31"/>
    <mergeCell ref="Z31:AA31"/>
    <mergeCell ref="AB31:AG31"/>
    <mergeCell ref="AH31:AI31"/>
    <mergeCell ref="AJ31:AK31"/>
    <mergeCell ref="AL31:AM31"/>
    <mergeCell ref="A32:B32"/>
    <mergeCell ref="C32:G32"/>
    <mergeCell ref="H32:S32"/>
    <mergeCell ref="T32:V32"/>
    <mergeCell ref="W32:Y32"/>
    <mergeCell ref="Z32:AA32"/>
    <mergeCell ref="AB32:AG32"/>
    <mergeCell ref="AH32:AI32"/>
    <mergeCell ref="AJ32:AK32"/>
    <mergeCell ref="AL32:AM32"/>
    <mergeCell ref="A33:B33"/>
    <mergeCell ref="C33:G33"/>
    <mergeCell ref="H33:S33"/>
    <mergeCell ref="T33:V33"/>
    <mergeCell ref="W33:Y33"/>
    <mergeCell ref="Z33:AA33"/>
    <mergeCell ref="AB33:AG33"/>
    <mergeCell ref="AH33:AI33"/>
    <mergeCell ref="AJ33:AK33"/>
    <mergeCell ref="AL33:AM33"/>
    <mergeCell ref="A34:B34"/>
    <mergeCell ref="C34:G34"/>
    <mergeCell ref="H34:S34"/>
    <mergeCell ref="T34:V34"/>
    <mergeCell ref="W34:Y34"/>
    <mergeCell ref="Z34:AA34"/>
    <mergeCell ref="AB34:AG34"/>
    <mergeCell ref="AH34:AI34"/>
    <mergeCell ref="AJ34:AK34"/>
    <mergeCell ref="AL34:AM34"/>
    <mergeCell ref="A35:B35"/>
    <mergeCell ref="C35:G35"/>
    <mergeCell ref="H35:S35"/>
    <mergeCell ref="T35:V35"/>
    <mergeCell ref="W35:Y35"/>
    <mergeCell ref="Z35:AA35"/>
    <mergeCell ref="AB35:AG35"/>
    <mergeCell ref="AH35:AI35"/>
    <mergeCell ref="AJ35:AK35"/>
    <mergeCell ref="AL35:AM35"/>
    <mergeCell ref="A36:B36"/>
    <mergeCell ref="C36:G36"/>
    <mergeCell ref="H36:S36"/>
    <mergeCell ref="T36:V36"/>
    <mergeCell ref="W36:Y36"/>
    <mergeCell ref="Z36:AA36"/>
    <mergeCell ref="AB36:AG36"/>
    <mergeCell ref="AH36:AI36"/>
    <mergeCell ref="AJ36:AK36"/>
    <mergeCell ref="AL36:AM36"/>
    <mergeCell ref="A37:B37"/>
    <mergeCell ref="C37:G37"/>
    <mergeCell ref="H37:S37"/>
    <mergeCell ref="T37:V37"/>
    <mergeCell ref="W37:Y37"/>
    <mergeCell ref="Z37:AA37"/>
    <mergeCell ref="AB37:AG37"/>
    <mergeCell ref="AH37:AI37"/>
    <mergeCell ref="AJ37:AK37"/>
    <mergeCell ref="AL37:AM37"/>
    <mergeCell ref="A38:B38"/>
    <mergeCell ref="C38:G38"/>
    <mergeCell ref="H38:S38"/>
    <mergeCell ref="T38:V38"/>
    <mergeCell ref="W38:Y38"/>
    <mergeCell ref="Z38:AA38"/>
    <mergeCell ref="AB38:AG38"/>
    <mergeCell ref="AH38:AI38"/>
    <mergeCell ref="AJ38:AK38"/>
    <mergeCell ref="AL38:AM38"/>
    <mergeCell ref="A39:B39"/>
    <mergeCell ref="C39:G39"/>
    <mergeCell ref="H39:S39"/>
    <mergeCell ref="T39:V39"/>
    <mergeCell ref="W39:Y39"/>
    <mergeCell ref="Z39:AA39"/>
    <mergeCell ref="AB39:AG39"/>
    <mergeCell ref="AH39:AI39"/>
    <mergeCell ref="AJ39:AK39"/>
    <mergeCell ref="AL39:AM39"/>
    <mergeCell ref="A40:B40"/>
    <mergeCell ref="C40:G40"/>
    <mergeCell ref="H40:S40"/>
    <mergeCell ref="T40:V40"/>
    <mergeCell ref="W40:Y40"/>
    <mergeCell ref="Z40:AA40"/>
    <mergeCell ref="AB40:AG40"/>
    <mergeCell ref="AH40:AI40"/>
    <mergeCell ref="AJ40:AK40"/>
    <mergeCell ref="AL40:AM40"/>
    <mergeCell ref="A41:B41"/>
    <mergeCell ref="C41:G41"/>
    <mergeCell ref="H41:S41"/>
    <mergeCell ref="T41:V41"/>
    <mergeCell ref="W41:Y41"/>
    <mergeCell ref="Z41:AA41"/>
    <mergeCell ref="AB41:AG41"/>
    <mergeCell ref="AH41:AI41"/>
    <mergeCell ref="AJ41:AK41"/>
    <mergeCell ref="AL41:AM41"/>
    <mergeCell ref="A42:B42"/>
    <mergeCell ref="C42:G42"/>
    <mergeCell ref="H42:S42"/>
    <mergeCell ref="T42:V42"/>
    <mergeCell ref="W42:Y42"/>
    <mergeCell ref="Z42:AA42"/>
    <mergeCell ref="AB42:AG42"/>
    <mergeCell ref="AH42:AI42"/>
    <mergeCell ref="AJ42:AK42"/>
    <mergeCell ref="AL42:AM42"/>
    <mergeCell ref="A43:B43"/>
    <mergeCell ref="C43:G43"/>
    <mergeCell ref="H43:S43"/>
    <mergeCell ref="T43:V43"/>
    <mergeCell ref="W43:Y43"/>
    <mergeCell ref="Z43:AA43"/>
    <mergeCell ref="AB43:AG43"/>
    <mergeCell ref="AH43:AI43"/>
    <mergeCell ref="AJ43:AK43"/>
    <mergeCell ref="AL43:AM43"/>
    <mergeCell ref="A44:B44"/>
    <mergeCell ref="C44:G44"/>
    <mergeCell ref="H44:S44"/>
    <mergeCell ref="T44:V44"/>
    <mergeCell ref="W44:Y44"/>
    <mergeCell ref="Z44:AA44"/>
    <mergeCell ref="AB44:AG44"/>
    <mergeCell ref="AH44:AI44"/>
    <mergeCell ref="AJ44:AK44"/>
    <mergeCell ref="AL44:AM44"/>
    <mergeCell ref="A45:B45"/>
    <mergeCell ref="C45:G45"/>
    <mergeCell ref="H45:S45"/>
    <mergeCell ref="T45:V45"/>
    <mergeCell ref="W45:Y45"/>
    <mergeCell ref="Z45:AA45"/>
    <mergeCell ref="AB45:AG45"/>
    <mergeCell ref="AH45:AI45"/>
    <mergeCell ref="AJ45:AK45"/>
    <mergeCell ref="AL45:AM45"/>
    <mergeCell ref="A46:B46"/>
    <mergeCell ref="C46:G46"/>
    <mergeCell ref="H46:S46"/>
    <mergeCell ref="T46:V46"/>
    <mergeCell ref="W46:Y46"/>
    <mergeCell ref="Z46:AA46"/>
    <mergeCell ref="AB46:AG46"/>
    <mergeCell ref="AH46:AI46"/>
    <mergeCell ref="AJ46:AK46"/>
    <mergeCell ref="AL46:AM46"/>
    <mergeCell ref="A47:B47"/>
    <mergeCell ref="C47:G47"/>
    <mergeCell ref="H47:S47"/>
    <mergeCell ref="T47:V47"/>
    <mergeCell ref="W47:Y47"/>
    <mergeCell ref="Z47:AA47"/>
    <mergeCell ref="AB47:AG47"/>
    <mergeCell ref="AH47:AI47"/>
    <mergeCell ref="AJ47:AK47"/>
    <mergeCell ref="AL47:AM47"/>
    <mergeCell ref="A48:B48"/>
    <mergeCell ref="C48:G48"/>
    <mergeCell ref="H48:S48"/>
    <mergeCell ref="T48:V48"/>
    <mergeCell ref="W48:Y48"/>
    <mergeCell ref="Z48:AA48"/>
    <mergeCell ref="AB48:AG48"/>
    <mergeCell ref="AH48:AI48"/>
    <mergeCell ref="AJ48:AK48"/>
    <mergeCell ref="AL48:AM48"/>
    <mergeCell ref="A49:B49"/>
    <mergeCell ref="C49:G49"/>
    <mergeCell ref="H49:S49"/>
    <mergeCell ref="T49:V49"/>
    <mergeCell ref="W49:Y49"/>
    <mergeCell ref="Z49:AA49"/>
    <mergeCell ref="AB49:AG49"/>
    <mergeCell ref="AH49:AI49"/>
    <mergeCell ref="AJ49:AK49"/>
    <mergeCell ref="AL49:AM49"/>
    <mergeCell ref="A50:B50"/>
    <mergeCell ref="C50:G50"/>
    <mergeCell ref="H50:S50"/>
    <mergeCell ref="T50:V50"/>
    <mergeCell ref="W50:Y50"/>
    <mergeCell ref="Z50:AA50"/>
    <mergeCell ref="AB50:AG50"/>
    <mergeCell ref="AH50:AI50"/>
    <mergeCell ref="AJ50:AK50"/>
    <mergeCell ref="AL50:AM50"/>
    <mergeCell ref="A51:B51"/>
    <mergeCell ref="C51:G51"/>
    <mergeCell ref="H51:S51"/>
    <mergeCell ref="T51:V51"/>
    <mergeCell ref="W51:Y51"/>
    <mergeCell ref="Z51:AA51"/>
    <mergeCell ref="AB51:AG51"/>
    <mergeCell ref="AH51:AI51"/>
    <mergeCell ref="AJ51:AK51"/>
    <mergeCell ref="AL51:AM51"/>
    <mergeCell ref="A52:B52"/>
    <mergeCell ref="C52:G52"/>
    <mergeCell ref="H52:S52"/>
    <mergeCell ref="T52:V52"/>
    <mergeCell ref="W52:Y52"/>
    <mergeCell ref="Z52:AA52"/>
    <mergeCell ref="AB52:AG52"/>
    <mergeCell ref="AH52:AI52"/>
    <mergeCell ref="AJ52:AK52"/>
    <mergeCell ref="AL52:AM52"/>
    <mergeCell ref="A53:B53"/>
    <mergeCell ref="C53:G53"/>
    <mergeCell ref="H53:AM53"/>
    <mergeCell ref="A54:B54"/>
    <mergeCell ref="C54:G54"/>
    <mergeCell ref="H54:P54"/>
    <mergeCell ref="Q54:V54"/>
    <mergeCell ref="W54:X54"/>
    <mergeCell ref="Y54:AD54"/>
    <mergeCell ref="AE54:AI54"/>
    <mergeCell ref="AJ54:AK54"/>
    <mergeCell ref="AL54:AM54"/>
    <mergeCell ref="A55:B55"/>
    <mergeCell ref="C55:G55"/>
    <mergeCell ref="H55:P55"/>
    <mergeCell ref="Q55:R55"/>
    <mergeCell ref="S55:V55"/>
    <mergeCell ref="W55:X55"/>
    <mergeCell ref="Y55:Z55"/>
    <mergeCell ref="AA55:AD55"/>
    <mergeCell ref="AE55:AI55"/>
    <mergeCell ref="AJ55:AK55"/>
    <mergeCell ref="AL55:AM55"/>
    <mergeCell ref="A56:B56"/>
    <mergeCell ref="C56:G56"/>
    <mergeCell ref="H56:P56"/>
    <mergeCell ref="Q56:R56"/>
    <mergeCell ref="S56:V56"/>
    <mergeCell ref="W56:X56"/>
    <mergeCell ref="Y56:Z56"/>
    <mergeCell ref="AA56:AD56"/>
    <mergeCell ref="AE56:AI56"/>
    <mergeCell ref="AJ56:AK56"/>
    <mergeCell ref="AL56:AM56"/>
    <mergeCell ref="A57:B57"/>
    <mergeCell ref="C57:G57"/>
    <mergeCell ref="H57:P57"/>
    <mergeCell ref="Q57:R57"/>
    <mergeCell ref="S57:V57"/>
    <mergeCell ref="W57:X57"/>
    <mergeCell ref="Y57:Z57"/>
    <mergeCell ref="AA57:AD57"/>
    <mergeCell ref="AE57:AI57"/>
    <mergeCell ref="AJ57:AK57"/>
    <mergeCell ref="AL57:AM57"/>
    <mergeCell ref="A58:B58"/>
    <mergeCell ref="C58:G58"/>
    <mergeCell ref="H58:P58"/>
    <mergeCell ref="Q58:R58"/>
    <mergeCell ref="S58:V58"/>
    <mergeCell ref="W58:X58"/>
    <mergeCell ref="Y58:Z58"/>
    <mergeCell ref="AA58:AD58"/>
    <mergeCell ref="AE58:AI58"/>
    <mergeCell ref="AJ58:AK58"/>
    <mergeCell ref="AL58:AM58"/>
    <mergeCell ref="A59:B59"/>
    <mergeCell ref="C59:G59"/>
    <mergeCell ref="H59:P59"/>
    <mergeCell ref="Q59:R59"/>
    <mergeCell ref="S59:V59"/>
    <mergeCell ref="W59:X59"/>
    <mergeCell ref="Y59:Z59"/>
    <mergeCell ref="AA59:AD59"/>
    <mergeCell ref="AE59:AI59"/>
    <mergeCell ref="AJ59:AK59"/>
    <mergeCell ref="AL59:AM59"/>
    <mergeCell ref="A60:B60"/>
    <mergeCell ref="C60:G60"/>
    <mergeCell ref="H60:P60"/>
    <mergeCell ref="Q60:R60"/>
    <mergeCell ref="S60:V60"/>
    <mergeCell ref="W60:X60"/>
    <mergeCell ref="Y60:Z60"/>
    <mergeCell ref="AA60:AD60"/>
    <mergeCell ref="AE60:AI60"/>
    <mergeCell ref="AJ60:AK60"/>
    <mergeCell ref="AL60:AM60"/>
    <mergeCell ref="A61:B61"/>
    <mergeCell ref="C61:G61"/>
    <mergeCell ref="H61:P61"/>
    <mergeCell ref="Q61:R61"/>
    <mergeCell ref="S61:V61"/>
    <mergeCell ref="W61:X61"/>
    <mergeCell ref="Y61:Z61"/>
    <mergeCell ref="AA61:AD61"/>
    <mergeCell ref="AE61:AI61"/>
    <mergeCell ref="AJ61:AK61"/>
    <mergeCell ref="AL61:AM61"/>
    <mergeCell ref="A62:B62"/>
    <mergeCell ref="C62:G62"/>
    <mergeCell ref="H62:O62"/>
    <mergeCell ref="P62:W62"/>
    <mergeCell ref="X62:AE62"/>
    <mergeCell ref="AF62:AM62"/>
    <mergeCell ref="A63:B63"/>
    <mergeCell ref="C63:G63"/>
    <mergeCell ref="H63:O63"/>
    <mergeCell ref="P63:W63"/>
    <mergeCell ref="X63:AE63"/>
    <mergeCell ref="AF63:AM63"/>
    <mergeCell ref="A64:B64"/>
    <mergeCell ref="C64:G64"/>
    <mergeCell ref="H64:O64"/>
    <mergeCell ref="P64:W64"/>
    <mergeCell ref="X64:AE64"/>
    <mergeCell ref="AF64:AM64"/>
    <mergeCell ref="A65:B65"/>
    <mergeCell ref="C65:G65"/>
    <mergeCell ref="H65:O65"/>
    <mergeCell ref="P65:W65"/>
    <mergeCell ref="X65:AE65"/>
    <mergeCell ref="AF65:AM6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AN7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28" activeCellId="0" sqref="A28"/>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11.1" hidden="false" customHeight="true" outlineLevel="0" collapsed="false">
      <c r="A1" s="398" t="s">
        <v>1135</v>
      </c>
      <c r="B1" s="398"/>
      <c r="C1" s="398"/>
      <c r="D1" s="398"/>
      <c r="E1" s="398"/>
      <c r="F1" s="398"/>
      <c r="G1" s="398"/>
      <c r="H1" s="398"/>
      <c r="I1" s="398"/>
      <c r="J1" s="398"/>
      <c r="K1" s="398"/>
      <c r="L1" s="398"/>
      <c r="M1" s="399" t="s">
        <v>1136</v>
      </c>
      <c r="N1" s="399"/>
      <c r="O1" s="399"/>
      <c r="P1" s="399"/>
      <c r="Q1" s="399"/>
      <c r="R1" s="399"/>
      <c r="S1" s="399"/>
      <c r="T1" s="399"/>
      <c r="U1" s="399"/>
      <c r="V1" s="399"/>
      <c r="W1" s="399"/>
      <c r="X1" s="399"/>
      <c r="Y1" s="399"/>
      <c r="Z1" s="399"/>
      <c r="AA1" s="400" t="s">
        <v>1137</v>
      </c>
      <c r="AB1" s="400"/>
      <c r="AC1" s="400"/>
      <c r="AD1" s="400"/>
      <c r="AE1" s="400"/>
      <c r="AF1" s="400"/>
      <c r="AG1" s="400"/>
      <c r="AH1" s="400"/>
      <c r="AI1" s="400"/>
      <c r="AJ1" s="400"/>
      <c r="AK1" s="400"/>
      <c r="AL1" s="400"/>
      <c r="AM1" s="400"/>
    </row>
    <row r="2" customFormat="false" ht="11.1" hidden="false" customHeight="true" outlineLevel="0" collapsed="false">
      <c r="A2" s="401" t="str">
        <f aca="false">RaceSpecial</f>
        <v>Versatility Talent</v>
      </c>
      <c r="B2" s="401"/>
      <c r="C2" s="401"/>
      <c r="D2" s="401"/>
      <c r="E2" s="401"/>
      <c r="F2" s="401"/>
      <c r="G2" s="401"/>
      <c r="H2" s="401"/>
      <c r="I2" s="401"/>
      <c r="J2" s="401"/>
      <c r="K2" s="401"/>
      <c r="L2" s="401"/>
      <c r="M2" s="402" t="s">
        <v>1138</v>
      </c>
      <c r="N2" s="402"/>
      <c r="O2" s="402"/>
      <c r="P2" s="402"/>
      <c r="Q2" s="402"/>
      <c r="R2" s="402"/>
      <c r="S2" s="402"/>
      <c r="T2" s="403" t="s">
        <v>1139</v>
      </c>
      <c r="U2" s="403"/>
      <c r="V2" s="403"/>
      <c r="W2" s="403"/>
      <c r="X2" s="403"/>
      <c r="Y2" s="403"/>
      <c r="Z2" s="403"/>
      <c r="AA2" s="404" t="s">
        <v>1140</v>
      </c>
      <c r="AB2" s="404"/>
      <c r="AC2" s="404"/>
      <c r="AD2" s="404"/>
      <c r="AE2" s="404"/>
      <c r="AF2" s="404"/>
      <c r="AG2" s="404"/>
      <c r="AH2" s="404"/>
      <c r="AI2" s="404"/>
      <c r="AJ2" s="404"/>
      <c r="AK2" s="404"/>
      <c r="AL2" s="404"/>
      <c r="AM2" s="404"/>
    </row>
    <row r="3" customFormat="false" ht="11.1" hidden="false" customHeight="true" outlineLevel="0" collapsed="false">
      <c r="A3" s="405"/>
      <c r="B3" s="405"/>
      <c r="C3" s="405"/>
      <c r="D3" s="405"/>
      <c r="E3" s="405"/>
      <c r="F3" s="405"/>
      <c r="G3" s="405"/>
      <c r="H3" s="405"/>
      <c r="I3" s="405"/>
      <c r="J3" s="405"/>
      <c r="K3" s="405"/>
      <c r="L3" s="405"/>
      <c r="M3" s="383" t="str">
        <f aca="true">IF(Build!CN617,OFFSET(Build!CI$616,Build!CN617,0)," ")</f>
        <v>Dwarven</v>
      </c>
      <c r="N3" s="383"/>
      <c r="O3" s="383"/>
      <c r="P3" s="383"/>
      <c r="Q3" s="383"/>
      <c r="R3" s="383"/>
      <c r="S3" s="383"/>
      <c r="T3" s="406" t="str">
        <f aca="true">IF(Build!CO617,OFFSET(Build!CI$616,Build!CO617,0)," ")</f>
        <v>Dwarven</v>
      </c>
      <c r="U3" s="406"/>
      <c r="V3" s="406"/>
      <c r="W3" s="406"/>
      <c r="X3" s="406"/>
      <c r="Y3" s="406"/>
      <c r="Z3" s="406"/>
      <c r="AA3" s="407" t="n">
        <f aca="false">Build!W14</f>
        <v>15730</v>
      </c>
      <c r="AB3" s="407"/>
      <c r="AC3" s="407"/>
      <c r="AD3" s="407"/>
      <c r="AE3" s="407"/>
      <c r="AF3" s="407"/>
      <c r="AG3" s="407"/>
      <c r="AH3" s="407"/>
      <c r="AI3" s="407"/>
      <c r="AJ3" s="407"/>
      <c r="AK3" s="407"/>
      <c r="AL3" s="407"/>
      <c r="AM3" s="407"/>
    </row>
    <row r="4" customFormat="false" ht="11.1" hidden="false" customHeight="true" outlineLevel="0" collapsed="false">
      <c r="A4" s="408" t="s">
        <v>1141</v>
      </c>
      <c r="B4" s="408"/>
      <c r="C4" s="408"/>
      <c r="D4" s="408"/>
      <c r="E4" s="408"/>
      <c r="F4" s="408"/>
      <c r="G4" s="408"/>
      <c r="H4" s="408"/>
      <c r="I4" s="408"/>
      <c r="J4" s="408"/>
      <c r="K4" s="408"/>
      <c r="L4" s="408"/>
      <c r="M4" s="383" t="str">
        <f aca="true">IF(Build!CN618,OFFSET(Build!CI$616,Build!CN618,0)," ")</f>
        <v>Human</v>
      </c>
      <c r="N4" s="383"/>
      <c r="O4" s="383"/>
      <c r="P4" s="383"/>
      <c r="Q4" s="383"/>
      <c r="R4" s="383"/>
      <c r="S4" s="383"/>
      <c r="T4" s="406" t="str">
        <f aca="true">IF(Build!CO618,OFFSET(Build!CI$616,Build!CO618,0)," ")</f>
        <v>Theran</v>
      </c>
      <c r="U4" s="406"/>
      <c r="V4" s="406"/>
      <c r="W4" s="406"/>
      <c r="X4" s="406"/>
      <c r="Y4" s="406"/>
      <c r="Z4" s="406"/>
      <c r="AA4" s="404" t="s">
        <v>1142</v>
      </c>
      <c r="AB4" s="404"/>
      <c r="AC4" s="404"/>
      <c r="AD4" s="404"/>
      <c r="AE4" s="404"/>
      <c r="AF4" s="404"/>
      <c r="AG4" s="404"/>
      <c r="AH4" s="404"/>
      <c r="AI4" s="404"/>
      <c r="AJ4" s="404"/>
      <c r="AK4" s="404"/>
      <c r="AL4" s="404"/>
      <c r="AM4" s="404"/>
    </row>
    <row r="5" customFormat="false" ht="11.1" hidden="false" customHeight="true" outlineLevel="0" collapsed="false">
      <c r="A5" s="409" t="s">
        <v>343</v>
      </c>
      <c r="B5" s="409"/>
      <c r="C5" s="409"/>
      <c r="D5" s="409"/>
      <c r="E5" s="409"/>
      <c r="F5" s="409"/>
      <c r="G5" s="409"/>
      <c r="H5" s="409"/>
      <c r="I5" s="409"/>
      <c r="J5" s="409"/>
      <c r="K5" s="410" t="s">
        <v>1143</v>
      </c>
      <c r="L5" s="410"/>
      <c r="M5" s="383" t="str">
        <f aca="true">IF(Build!CN619,OFFSET(Build!CI$616,Build!CN619,0)," ")</f>
        <v>Or'zet (Ork)</v>
      </c>
      <c r="N5" s="383"/>
      <c r="O5" s="383"/>
      <c r="P5" s="383"/>
      <c r="Q5" s="383"/>
      <c r="R5" s="383"/>
      <c r="S5" s="383"/>
      <c r="T5" s="406" t="str">
        <f aca="true">IF(Build!CO619,OFFSET(Build!CI$616,Build!CO619,0)," ")</f>
        <v> </v>
      </c>
      <c r="U5" s="406"/>
      <c r="V5" s="406"/>
      <c r="W5" s="406"/>
      <c r="X5" s="406"/>
      <c r="Y5" s="406"/>
      <c r="Z5" s="406"/>
      <c r="AA5" s="407" t="n">
        <f aca="false">Build!W12</f>
        <v>171280</v>
      </c>
      <c r="AB5" s="407"/>
      <c r="AC5" s="407"/>
      <c r="AD5" s="407"/>
      <c r="AE5" s="407"/>
      <c r="AF5" s="407"/>
      <c r="AG5" s="407"/>
      <c r="AH5" s="407"/>
      <c r="AI5" s="407"/>
      <c r="AJ5" s="407"/>
      <c r="AK5" s="407"/>
      <c r="AL5" s="407"/>
      <c r="AM5" s="407"/>
    </row>
    <row r="6" customFormat="false" ht="11.1" hidden="false" customHeight="true" outlineLevel="0" collapsed="false">
      <c r="A6" s="360" t="str">
        <f aca="true">IF(Build!BQ617,OFFSET(Build!BJ$616,Build!BQ617,0)," ")</f>
        <v> </v>
      </c>
      <c r="B6" s="360"/>
      <c r="C6" s="360"/>
      <c r="D6" s="360"/>
      <c r="E6" s="360"/>
      <c r="F6" s="360"/>
      <c r="G6" s="360"/>
      <c r="H6" s="360"/>
      <c r="I6" s="360"/>
      <c r="J6" s="360"/>
      <c r="K6" s="411" t="str">
        <f aca="true">IF(Build!BQ617,OFFSET(Build!BK$616,Build!BQ617,0)," ")</f>
        <v> </v>
      </c>
      <c r="L6" s="411"/>
      <c r="M6" s="383" t="str">
        <f aca="true">IF(Build!CN620,OFFSET(Build!CI$616,Build!CN620,0)," ")</f>
        <v>T'skrang</v>
      </c>
      <c r="N6" s="383"/>
      <c r="O6" s="383"/>
      <c r="P6" s="383"/>
      <c r="Q6" s="383"/>
      <c r="R6" s="383"/>
      <c r="S6" s="383"/>
      <c r="T6" s="406" t="str">
        <f aca="true">IF(Build!CO620,OFFSET(Build!CI$616,Build!CO620,0)," ")</f>
        <v> </v>
      </c>
      <c r="U6" s="406"/>
      <c r="V6" s="406"/>
      <c r="W6" s="406"/>
      <c r="X6" s="406"/>
      <c r="Y6" s="406"/>
      <c r="Z6" s="406"/>
      <c r="AA6" s="412" t="str">
        <f aca="false">"Legendary Status: Level "&amp;TRUNC(IF(AA5&lt;10000,0,LN(AA5/10000)/LN(4)+1))</f>
        <v>Legendary Status: Level 3</v>
      </c>
      <c r="AB6" s="412"/>
      <c r="AC6" s="412"/>
      <c r="AD6" s="412"/>
      <c r="AE6" s="412"/>
      <c r="AF6" s="412"/>
      <c r="AG6" s="412"/>
      <c r="AH6" s="412"/>
      <c r="AI6" s="412"/>
      <c r="AJ6" s="412"/>
      <c r="AK6" s="412"/>
      <c r="AL6" s="412"/>
      <c r="AM6" s="412"/>
    </row>
    <row r="7" customFormat="false" ht="11.1" hidden="false" customHeight="true" outlineLevel="0" collapsed="false">
      <c r="A7" s="360" t="str">
        <f aca="true">IF(Build!BQ618,OFFSET(Build!BJ$616,Build!BQ618,0)," ")</f>
        <v> </v>
      </c>
      <c r="B7" s="360"/>
      <c r="C7" s="360"/>
      <c r="D7" s="360"/>
      <c r="E7" s="360"/>
      <c r="F7" s="360"/>
      <c r="G7" s="360"/>
      <c r="H7" s="360"/>
      <c r="I7" s="360"/>
      <c r="J7" s="360"/>
      <c r="K7" s="411" t="str">
        <f aca="true">IF(Build!BQ618,OFFSET(Build!BK$616,Build!BQ618,0)," ")</f>
        <v> </v>
      </c>
      <c r="L7" s="411"/>
      <c r="M7" s="383" t="str">
        <f aca="true">IF(Build!CN621,OFFSET(Build!CI$616,Build!CN621,0)," ")</f>
        <v>Theran</v>
      </c>
      <c r="N7" s="383"/>
      <c r="O7" s="383"/>
      <c r="P7" s="383"/>
      <c r="Q7" s="383"/>
      <c r="R7" s="383"/>
      <c r="S7" s="383"/>
      <c r="T7" s="406" t="str">
        <f aca="true">IF(Build!CO621,OFFSET(Build!CI$616,Build!CO621,0)," ")</f>
        <v> </v>
      </c>
      <c r="U7" s="406"/>
      <c r="V7" s="406"/>
      <c r="W7" s="406"/>
      <c r="X7" s="406"/>
      <c r="Y7" s="406"/>
      <c r="Z7" s="406"/>
      <c r="AA7" s="413" t="s">
        <v>1144</v>
      </c>
      <c r="AB7" s="413"/>
      <c r="AC7" s="413"/>
      <c r="AD7" s="413"/>
      <c r="AE7" s="413"/>
      <c r="AF7" s="413"/>
      <c r="AG7" s="413"/>
      <c r="AH7" s="413"/>
      <c r="AI7" s="413"/>
      <c r="AJ7" s="413"/>
      <c r="AK7" s="413"/>
      <c r="AL7" s="413"/>
      <c r="AM7" s="413"/>
    </row>
    <row r="8" customFormat="false" ht="11.1" hidden="false" customHeight="true" outlineLevel="0" collapsed="false">
      <c r="A8" s="360" t="str">
        <f aca="true">IF(Build!BQ619,OFFSET(Build!BJ$616,Build!BQ619,0)," ")</f>
        <v> </v>
      </c>
      <c r="B8" s="360"/>
      <c r="C8" s="360"/>
      <c r="D8" s="360"/>
      <c r="E8" s="360"/>
      <c r="F8" s="360"/>
      <c r="G8" s="360"/>
      <c r="H8" s="360"/>
      <c r="I8" s="360"/>
      <c r="J8" s="360"/>
      <c r="K8" s="411" t="str">
        <f aca="true">IF(Build!BQ619,OFFSET(Build!BK$616,Build!BQ619,0)," ")</f>
        <v> </v>
      </c>
      <c r="L8" s="411"/>
      <c r="M8" s="383" t="str">
        <f aca="true">IF(Build!CN622,OFFSET(Build!CI$616,Build!CN622,0)," ")</f>
        <v> </v>
      </c>
      <c r="N8" s="383"/>
      <c r="O8" s="383"/>
      <c r="P8" s="383"/>
      <c r="Q8" s="383"/>
      <c r="R8" s="383"/>
      <c r="S8" s="383"/>
      <c r="T8" s="406" t="str">
        <f aca="true">IF(Build!CO622,OFFSET(Build!CI$616,Build!CO622,0)," ")</f>
        <v> </v>
      </c>
      <c r="U8" s="406"/>
      <c r="V8" s="406"/>
      <c r="W8" s="406"/>
      <c r="X8" s="406"/>
      <c r="Y8" s="406"/>
      <c r="Z8" s="406"/>
      <c r="AA8" s="414" t="s">
        <v>1145</v>
      </c>
      <c r="AB8" s="414"/>
      <c r="AC8" s="414"/>
      <c r="AD8" s="414"/>
      <c r="AE8" s="414"/>
      <c r="AF8" s="414"/>
      <c r="AG8" s="414"/>
      <c r="AH8" s="414"/>
      <c r="AI8" s="414"/>
      <c r="AJ8" s="414"/>
      <c r="AK8" s="414"/>
      <c r="AL8" s="414"/>
      <c r="AM8" s="414"/>
    </row>
    <row r="9" customFormat="false" ht="11.1" hidden="false" customHeight="true" outlineLevel="0" collapsed="false">
      <c r="A9" s="360" t="str">
        <f aca="true">IF(Build!BQ620,OFFSET(Build!BJ$616,Build!BQ620,0)," ")</f>
        <v> </v>
      </c>
      <c r="B9" s="360"/>
      <c r="C9" s="360"/>
      <c r="D9" s="360"/>
      <c r="E9" s="360"/>
      <c r="F9" s="360"/>
      <c r="G9" s="360"/>
      <c r="H9" s="360"/>
      <c r="I9" s="360"/>
      <c r="J9" s="360"/>
      <c r="K9" s="411" t="str">
        <f aca="true">IF(Build!BQ620,OFFSET(Build!BK$616,Build!BQ620,0)," ")</f>
        <v> </v>
      </c>
      <c r="L9" s="411"/>
      <c r="M9" s="383" t="str">
        <f aca="true">IF(Build!CN623,OFFSET(Build!CI$616,Build!CN623,0)," ")</f>
        <v> </v>
      </c>
      <c r="N9" s="383"/>
      <c r="O9" s="383"/>
      <c r="P9" s="383"/>
      <c r="Q9" s="383"/>
      <c r="R9" s="383"/>
      <c r="S9" s="383"/>
      <c r="T9" s="406" t="str">
        <f aca="true">IF(Build!CO623,OFFSET(Build!CI$616,Build!CO623,0)," ")</f>
        <v> </v>
      </c>
      <c r="U9" s="406"/>
      <c r="V9" s="406"/>
      <c r="W9" s="406"/>
      <c r="X9" s="406"/>
      <c r="Y9" s="406"/>
      <c r="Z9" s="406"/>
      <c r="AA9" s="415" t="s">
        <v>1146</v>
      </c>
      <c r="AB9" s="415"/>
      <c r="AC9" s="415"/>
      <c r="AD9" s="415"/>
      <c r="AE9" s="415"/>
      <c r="AF9" s="415"/>
      <c r="AG9" s="415"/>
      <c r="AH9" s="415"/>
      <c r="AI9" s="416" t="s">
        <v>493</v>
      </c>
      <c r="AJ9" s="416" t="s">
        <v>1147</v>
      </c>
      <c r="AK9" s="417" t="s">
        <v>1148</v>
      </c>
      <c r="AL9" s="418" t="s">
        <v>1149</v>
      </c>
      <c r="AM9" s="418"/>
    </row>
    <row r="10" customFormat="false" ht="11.1" hidden="false" customHeight="true" outlineLevel="0" collapsed="false">
      <c r="A10" s="360" t="str">
        <f aca="true">IF(Build!BQ621,OFFSET(Build!BJ$616,Build!BQ621,0)," ")</f>
        <v> </v>
      </c>
      <c r="B10" s="360"/>
      <c r="C10" s="360"/>
      <c r="D10" s="360"/>
      <c r="E10" s="360"/>
      <c r="F10" s="360"/>
      <c r="G10" s="360"/>
      <c r="H10" s="360"/>
      <c r="I10" s="360"/>
      <c r="J10" s="360"/>
      <c r="K10" s="411" t="str">
        <f aca="true">IF(Build!BQ621,OFFSET(Build!BK$616,Build!BQ621,0)," ")</f>
        <v> </v>
      </c>
      <c r="L10" s="411"/>
      <c r="M10" s="383" t="str">
        <f aca="true">IF(Build!CN624,OFFSET(Build!CI$616,Build!CN624,0)," ")</f>
        <v> </v>
      </c>
      <c r="N10" s="383"/>
      <c r="O10" s="383"/>
      <c r="P10" s="383"/>
      <c r="Q10" s="383"/>
      <c r="R10" s="383"/>
      <c r="S10" s="383"/>
      <c r="T10" s="406" t="str">
        <f aca="true">IF(Build!CO624,OFFSET(Build!CI$616,Build!CO624,0)," ")</f>
        <v> </v>
      </c>
      <c r="U10" s="406"/>
      <c r="V10" s="406"/>
      <c r="W10" s="406"/>
      <c r="X10" s="406"/>
      <c r="Y10" s="406"/>
      <c r="Z10" s="406"/>
      <c r="AA10" s="383" t="str">
        <f aca="true">IF(Build!R617,OFFSET(Build!B$189,Build!R617,0)," ")</f>
        <v>Footman's Shield</v>
      </c>
      <c r="AB10" s="383"/>
      <c r="AC10" s="383"/>
      <c r="AD10" s="383"/>
      <c r="AE10" s="383"/>
      <c r="AF10" s="383"/>
      <c r="AG10" s="383"/>
      <c r="AH10" s="383"/>
      <c r="AI10" s="419" t="n">
        <f aca="true">IF(Build!R617,OFFSET(Build!F$189,Build!R617,0)," ")</f>
        <v>3</v>
      </c>
      <c r="AJ10" s="419" t="n">
        <f aca="true">IF(Build!R617,OFFSET(Build!G$189,Build!R617,0)," ")</f>
        <v>0</v>
      </c>
      <c r="AK10" s="358" t="n">
        <f aca="true">IF(Build!R617,OFFSET(Build!H$189,Build!R617,0)," ")</f>
        <v>1</v>
      </c>
      <c r="AL10" s="420" t="n">
        <f aca="true">IF(Build!R617,OFFSET(Build!I$189,Build!R617,0)," ")</f>
        <v>10</v>
      </c>
      <c r="AM10" s="420"/>
    </row>
    <row r="11" customFormat="false" ht="11.1" hidden="false" customHeight="true" outlineLevel="0" collapsed="false">
      <c r="A11" s="360" t="str">
        <f aca="true">IF(Build!BQ622,OFFSET(Build!BJ$616,Build!BQ622,0)," ")</f>
        <v> </v>
      </c>
      <c r="B11" s="360"/>
      <c r="C11" s="360"/>
      <c r="D11" s="360"/>
      <c r="E11" s="360"/>
      <c r="F11" s="360"/>
      <c r="G11" s="360"/>
      <c r="H11" s="360"/>
      <c r="I11" s="360"/>
      <c r="J11" s="360"/>
      <c r="K11" s="411" t="str">
        <f aca="true">IF(Build!BQ622,OFFSET(Build!BK$616,Build!BQ622,0)," ")</f>
        <v> </v>
      </c>
      <c r="L11" s="411"/>
      <c r="M11" s="383" t="str">
        <f aca="true">IF(Build!CN625,OFFSET(Build!CI$616,Build!CN625,0)," ")</f>
        <v> </v>
      </c>
      <c r="N11" s="383"/>
      <c r="O11" s="383"/>
      <c r="P11" s="383"/>
      <c r="Q11" s="383"/>
      <c r="R11" s="383"/>
      <c r="S11" s="383"/>
      <c r="T11" s="406" t="str">
        <f aca="true">IF(Build!CO625,OFFSET(Build!CI$616,Build!CO625,0)," ")</f>
        <v> </v>
      </c>
      <c r="U11" s="406"/>
      <c r="V11" s="406"/>
      <c r="W11" s="406"/>
      <c r="X11" s="406"/>
      <c r="Y11" s="406"/>
      <c r="Z11" s="406"/>
      <c r="AA11" s="383" t="str">
        <f aca="true">IF(Build!R618,OFFSET(Build!B$189,Build!R618,0)," ")</f>
        <v>Threaded Armour Kravrolin</v>
      </c>
      <c r="AB11" s="383"/>
      <c r="AC11" s="383"/>
      <c r="AD11" s="383"/>
      <c r="AE11" s="383"/>
      <c r="AF11" s="383"/>
      <c r="AG11" s="383"/>
      <c r="AH11" s="383"/>
      <c r="AI11" s="419" t="n">
        <f aca="true">IF(Build!R618,OFFSET(Build!F$189,Build!R618,0)," ")</f>
        <v>9</v>
      </c>
      <c r="AJ11" s="419" t="n">
        <f aca="true">IF(Build!R618,OFFSET(Build!G$189,Build!R618,0)," ")</f>
        <v>0</v>
      </c>
      <c r="AK11" s="358" t="n">
        <f aca="true">IF(Build!R618,OFFSET(Build!H$189,Build!R618,0)," ")</f>
        <v>0</v>
      </c>
      <c r="AL11" s="385" t="n">
        <f aca="true">IF(Build!R618,OFFSET(Build!I$189,Build!R618,0)," ")</f>
        <v>20</v>
      </c>
      <c r="AM11" s="385"/>
    </row>
    <row r="12" customFormat="false" ht="11.1" hidden="false" customHeight="true" outlineLevel="0" collapsed="false">
      <c r="A12" s="360" t="str">
        <f aca="true">IF(Build!BQ623,OFFSET(Build!BJ$616,Build!BQ623,0)," ")</f>
        <v> </v>
      </c>
      <c r="B12" s="360"/>
      <c r="C12" s="360"/>
      <c r="D12" s="360"/>
      <c r="E12" s="360"/>
      <c r="F12" s="360"/>
      <c r="G12" s="360"/>
      <c r="H12" s="360"/>
      <c r="I12" s="360"/>
      <c r="J12" s="360"/>
      <c r="K12" s="411" t="str">
        <f aca="true">IF(Build!BQ623,OFFSET(Build!BK$616,Build!BQ623,0)," ")</f>
        <v> </v>
      </c>
      <c r="L12" s="411"/>
      <c r="M12" s="383" t="str">
        <f aca="true">IF(Build!CN626,OFFSET(Build!CI$616,Build!CN626,0)," ")</f>
        <v> </v>
      </c>
      <c r="N12" s="383"/>
      <c r="O12" s="383"/>
      <c r="P12" s="383"/>
      <c r="Q12" s="383"/>
      <c r="R12" s="383"/>
      <c r="S12" s="383"/>
      <c r="T12" s="406" t="str">
        <f aca="true">IF(Build!CO626,OFFSET(Build!CI$616,Build!CO626,0)," ")</f>
        <v> </v>
      </c>
      <c r="U12" s="406"/>
      <c r="V12" s="406"/>
      <c r="W12" s="406"/>
      <c r="X12" s="406"/>
      <c r="Y12" s="406"/>
      <c r="Z12" s="406"/>
      <c r="AA12" s="383" t="str">
        <f aca="true">IF(Build!R619,OFFSET(Build!B$189,Build!R619,0)," ")</f>
        <v> </v>
      </c>
      <c r="AB12" s="383"/>
      <c r="AC12" s="383"/>
      <c r="AD12" s="383"/>
      <c r="AE12" s="383"/>
      <c r="AF12" s="383"/>
      <c r="AG12" s="383"/>
      <c r="AH12" s="383"/>
      <c r="AI12" s="419" t="str">
        <f aca="true">IF(Build!R619,OFFSET(Build!F$189,Build!R619,0)," ")</f>
        <v> </v>
      </c>
      <c r="AJ12" s="419" t="str">
        <f aca="true">IF(Build!R619,OFFSET(Build!G$189,Build!R619,0)," ")</f>
        <v> </v>
      </c>
      <c r="AK12" s="358" t="str">
        <f aca="true">IF(Build!R619,OFFSET(Build!H$189,Build!R619,0)," ")</f>
        <v> </v>
      </c>
      <c r="AL12" s="420" t="str">
        <f aca="true">IF(Build!R619,OFFSET(Build!I$189,Build!R619,0)," ")</f>
        <v> </v>
      </c>
      <c r="AM12" s="420"/>
    </row>
    <row r="13" customFormat="false" ht="11.1" hidden="false" customHeight="true" outlineLevel="0" collapsed="false">
      <c r="A13" s="360" t="str">
        <f aca="true">IF(Build!BQ624,OFFSET(Build!BJ$616,Build!BQ624,0)," ")</f>
        <v> </v>
      </c>
      <c r="B13" s="360"/>
      <c r="C13" s="360"/>
      <c r="D13" s="360"/>
      <c r="E13" s="360"/>
      <c r="F13" s="360"/>
      <c r="G13" s="360"/>
      <c r="H13" s="360"/>
      <c r="I13" s="360"/>
      <c r="J13" s="360"/>
      <c r="K13" s="411" t="str">
        <f aca="true">IF(Build!BQ624,OFFSET(Build!BK$616,Build!BQ624,0)," ")</f>
        <v> </v>
      </c>
      <c r="L13" s="411"/>
      <c r="M13" s="383" t="str">
        <f aca="true">IF(Build!CN627,OFFSET(Build!CI$616,Build!CN627,0)," ")</f>
        <v> </v>
      </c>
      <c r="N13" s="383"/>
      <c r="O13" s="383"/>
      <c r="P13" s="383"/>
      <c r="Q13" s="383"/>
      <c r="R13" s="383"/>
      <c r="S13" s="383"/>
      <c r="T13" s="406" t="str">
        <f aca="true">IF(Build!CO627,OFFSET(Build!CI$616,Build!CO627,0)," ")</f>
        <v> </v>
      </c>
      <c r="U13" s="406"/>
      <c r="V13" s="406"/>
      <c r="W13" s="406"/>
      <c r="X13" s="406"/>
      <c r="Y13" s="406"/>
      <c r="Z13" s="406"/>
      <c r="AA13" s="383" t="str">
        <f aca="true">IF(Build!R620,OFFSET(Build!B$189,Build!R620,0)," ")</f>
        <v> </v>
      </c>
      <c r="AB13" s="383"/>
      <c r="AC13" s="383"/>
      <c r="AD13" s="383"/>
      <c r="AE13" s="383"/>
      <c r="AF13" s="383"/>
      <c r="AG13" s="383"/>
      <c r="AH13" s="383"/>
      <c r="AI13" s="419" t="str">
        <f aca="true">IF(Build!R620,OFFSET(Build!F$189,Build!R620,0)," ")</f>
        <v> </v>
      </c>
      <c r="AJ13" s="419" t="str">
        <f aca="true">IF(Build!R620,OFFSET(Build!G$189,Build!R620,0)," ")</f>
        <v> </v>
      </c>
      <c r="AK13" s="358" t="str">
        <f aca="true">IF(Build!R620,OFFSET(Build!H$189,Build!R620,0)," ")</f>
        <v> </v>
      </c>
      <c r="AL13" s="385" t="str">
        <f aca="true">IF(Build!R620,OFFSET(Build!I$189,Build!R620,0)," ")</f>
        <v> </v>
      </c>
      <c r="AM13" s="385"/>
    </row>
    <row r="14" customFormat="false" ht="11.1" hidden="false" customHeight="true" outlineLevel="0" collapsed="false">
      <c r="A14" s="421" t="s">
        <v>1150</v>
      </c>
      <c r="B14" s="421"/>
      <c r="C14" s="421"/>
      <c r="D14" s="421"/>
      <c r="E14" s="421"/>
      <c r="F14" s="421"/>
      <c r="G14" s="421"/>
      <c r="H14" s="421"/>
      <c r="I14" s="421"/>
      <c r="J14" s="421"/>
      <c r="K14" s="421"/>
      <c r="L14" s="421"/>
      <c r="M14" s="422" t="s">
        <v>19</v>
      </c>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row>
    <row r="15" customFormat="false" ht="11.1" hidden="false" customHeight="true" outlineLevel="0" collapsed="false">
      <c r="A15" s="423" t="s">
        <v>1151</v>
      </c>
      <c r="B15" s="423"/>
      <c r="C15" s="423"/>
      <c r="D15" s="423"/>
      <c r="E15" s="423"/>
      <c r="F15" s="423"/>
      <c r="G15" s="423"/>
      <c r="H15" s="423"/>
      <c r="I15" s="424" t="s">
        <v>500</v>
      </c>
      <c r="J15" s="424"/>
      <c r="K15" s="424" t="s">
        <v>1143</v>
      </c>
      <c r="L15" s="424"/>
      <c r="M15" s="425" t="s">
        <v>1067</v>
      </c>
      <c r="N15" s="425"/>
      <c r="O15" s="425"/>
      <c r="P15" s="425"/>
      <c r="Q15" s="425"/>
      <c r="R15" s="425"/>
      <c r="S15" s="425"/>
      <c r="T15" s="425"/>
      <c r="U15" s="425"/>
      <c r="V15" s="425"/>
      <c r="W15" s="426" t="s">
        <v>1152</v>
      </c>
      <c r="X15" s="426"/>
      <c r="Y15" s="426"/>
      <c r="Z15" s="426"/>
      <c r="AA15" s="426"/>
      <c r="AB15" s="426"/>
      <c r="AC15" s="426"/>
      <c r="AD15" s="426"/>
      <c r="AE15" s="426"/>
      <c r="AF15" s="426"/>
      <c r="AG15" s="426" t="s">
        <v>1153</v>
      </c>
      <c r="AH15" s="426"/>
      <c r="AI15" s="427" t="s">
        <v>1068</v>
      </c>
      <c r="AJ15" s="427"/>
      <c r="AK15" s="428" t="s">
        <v>1154</v>
      </c>
      <c r="AL15" s="428"/>
      <c r="AM15" s="428"/>
    </row>
    <row r="16" customFormat="false" ht="11.1" hidden="false" customHeight="true" outlineLevel="0" collapsed="false">
      <c r="A16" s="360" t="str">
        <f aca="true">IF(Build!BQ627,OFFSET(Build!BJ$616,Build!BQ627,0)," ")</f>
        <v>Absorb Blow</v>
      </c>
      <c r="B16" s="360"/>
      <c r="C16" s="360"/>
      <c r="D16" s="360"/>
      <c r="E16" s="360"/>
      <c r="F16" s="360"/>
      <c r="G16" s="360"/>
      <c r="H16" s="360"/>
      <c r="I16" s="358" t="n">
        <f aca="true">IF(Build!BQ627,OFFSET(Build!BM$616,Build!BQ627,0)," ")</f>
        <v>0</v>
      </c>
      <c r="J16" s="358"/>
      <c r="K16" s="366" t="n">
        <f aca="true">IF(Build!BQ627,OFFSET(Build!BK$616,Build!BQ627,0)," ")</f>
        <v>2</v>
      </c>
      <c r="L16" s="366"/>
      <c r="M16" s="383" t="str">
        <f aca="true">IF(Build!BH617,OFFSET(Build!K$35,Build!BH617,0)," ")</f>
        <v>Angelic Appearance</v>
      </c>
      <c r="N16" s="383"/>
      <c r="O16" s="383"/>
      <c r="P16" s="383"/>
      <c r="Q16" s="383"/>
      <c r="R16" s="383"/>
      <c r="S16" s="383"/>
      <c r="T16" s="383"/>
      <c r="U16" s="383"/>
      <c r="V16" s="383"/>
      <c r="W16" s="375" t="str">
        <f aca="false">IF(M16=" "," ",VLOOKUP(M16,Talents!G$4:J$191,2,0))</f>
        <v>Disguise Self</v>
      </c>
      <c r="X16" s="375"/>
      <c r="Y16" s="375"/>
      <c r="Z16" s="375"/>
      <c r="AA16" s="375"/>
      <c r="AB16" s="375"/>
      <c r="AC16" s="375"/>
      <c r="AD16" s="375"/>
      <c r="AE16" s="375"/>
      <c r="AF16" s="375"/>
      <c r="AG16" s="358" t="str">
        <f aca="false">IF(M16=" "," ",VLOOKUP(M16,KnackRank,3,0))</f>
        <v>Y</v>
      </c>
      <c r="AH16" s="358"/>
      <c r="AI16" s="358" t="n">
        <f aca="false">IF(M16=" "," ",VLOOKUP(M16,Strain1,4,0))</f>
        <v>1</v>
      </c>
      <c r="AJ16" s="358"/>
      <c r="AK16" s="385"/>
      <c r="AL16" s="385"/>
      <c r="AM16" s="385"/>
    </row>
    <row r="17" customFormat="false" ht="11.1" hidden="false" customHeight="true" outlineLevel="0" collapsed="false">
      <c r="A17" s="360" t="str">
        <f aca="true">IF(Build!BQ628,OFFSET(Build!BJ$616,Build!BQ628,0)," ")</f>
        <v>Horror Fend</v>
      </c>
      <c r="B17" s="360"/>
      <c r="C17" s="360"/>
      <c r="D17" s="360"/>
      <c r="E17" s="360"/>
      <c r="F17" s="360"/>
      <c r="G17" s="360"/>
      <c r="H17" s="360"/>
      <c r="I17" s="358" t="n">
        <f aca="true">IF(Build!BQ628,OFFSET(Build!BM$616,Build!BQ628,0)," ")</f>
        <v>0</v>
      </c>
      <c r="J17" s="358"/>
      <c r="K17" s="366" t="n">
        <f aca="true">IF(Build!BQ628,OFFSET(Build!BK$616,Build!BQ628,0)," ")</f>
        <v>3</v>
      </c>
      <c r="L17" s="366"/>
      <c r="M17" s="383" t="str">
        <f aca="true">IF(Build!BH618,OFFSET(Build!K$35,Build!BH618,0)," ")</f>
        <v>Shadow Hide</v>
      </c>
      <c r="N17" s="383"/>
      <c r="O17" s="383"/>
      <c r="P17" s="383"/>
      <c r="Q17" s="383"/>
      <c r="R17" s="383"/>
      <c r="S17" s="383"/>
      <c r="T17" s="383"/>
      <c r="U17" s="383"/>
      <c r="V17" s="383"/>
      <c r="W17" s="375" t="str">
        <f aca="false">IF(M17=" "," ",VLOOKUP(M17,Talents!G$4:J$191,2,0))</f>
        <v>Silent Walk</v>
      </c>
      <c r="X17" s="375"/>
      <c r="Y17" s="375"/>
      <c r="Z17" s="375"/>
      <c r="AA17" s="375"/>
      <c r="AB17" s="375"/>
      <c r="AC17" s="375"/>
      <c r="AD17" s="375"/>
      <c r="AE17" s="375"/>
      <c r="AF17" s="375"/>
      <c r="AG17" s="358" t="str">
        <f aca="false">IF(M17=" "," ",VLOOKUP(M17,KnackRank,3,0))</f>
        <v>Y</v>
      </c>
      <c r="AH17" s="358"/>
      <c r="AI17" s="358" t="n">
        <f aca="false">IF(M17=" "," ",VLOOKUP(M17,Strain1,4,0))</f>
        <v>1</v>
      </c>
      <c r="AJ17" s="358"/>
      <c r="AK17" s="385"/>
      <c r="AL17" s="385"/>
      <c r="AM17" s="385"/>
    </row>
    <row r="18" customFormat="false" ht="11.1" hidden="false" customHeight="true" outlineLevel="0" collapsed="false">
      <c r="A18" s="360" t="str">
        <f aca="true">IF(Build!BQ629,OFFSET(Build!BJ$616,Build!BQ629,0)," ")</f>
        <v>Karma</v>
      </c>
      <c r="B18" s="360"/>
      <c r="C18" s="360"/>
      <c r="D18" s="360"/>
      <c r="E18" s="360"/>
      <c r="F18" s="360"/>
      <c r="G18" s="360"/>
      <c r="H18" s="360"/>
      <c r="I18" s="358" t="n">
        <f aca="true">IF(Build!BQ629,OFFSET(Build!BM$616,Build!BQ629,0)," ")</f>
        <v>2</v>
      </c>
      <c r="J18" s="358"/>
      <c r="K18" s="366" t="n">
        <f aca="true">IF(Build!BQ629,OFFSET(Build!BK$616,Build!BQ629,0)," ")</f>
        <v>3</v>
      </c>
      <c r="L18" s="366"/>
      <c r="M18" s="383" t="str">
        <f aca="true">IF(Build!BH619,OFFSET(Build!K$35,Build!BH619,0)," ")</f>
        <v> </v>
      </c>
      <c r="N18" s="383"/>
      <c r="O18" s="383"/>
      <c r="P18" s="383"/>
      <c r="Q18" s="383"/>
      <c r="R18" s="383"/>
      <c r="S18" s="383"/>
      <c r="T18" s="383"/>
      <c r="U18" s="383"/>
      <c r="V18" s="383"/>
      <c r="W18" s="375" t="str">
        <f aca="false">IF(M18=" "," ",VLOOKUP(M18,Talents!G$4:J$191,2,0))</f>
        <v> </v>
      </c>
      <c r="X18" s="375"/>
      <c r="Y18" s="375"/>
      <c r="Z18" s="375"/>
      <c r="AA18" s="375"/>
      <c r="AB18" s="375"/>
      <c r="AC18" s="375"/>
      <c r="AD18" s="375"/>
      <c r="AE18" s="375"/>
      <c r="AF18" s="375"/>
      <c r="AG18" s="358" t="str">
        <f aca="false">IF(M18=" "," ",VLOOKUP(M18,KnackRank,3,0))</f>
        <v> </v>
      </c>
      <c r="AH18" s="358"/>
      <c r="AI18" s="358" t="str">
        <f aca="false">IF(M18=" "," ",VLOOKUP(M18,Strain1,4,0))</f>
        <v> </v>
      </c>
      <c r="AJ18" s="358"/>
      <c r="AK18" s="385"/>
      <c r="AL18" s="385"/>
      <c r="AM18" s="385"/>
    </row>
    <row r="19" customFormat="false" ht="11.1" hidden="false" customHeight="true" outlineLevel="0" collapsed="false">
      <c r="A19" s="360" t="str">
        <f aca="true">IF(Build!BQ630,OFFSET(Build!BJ$616,Build!BQ630,0)," ")</f>
        <v> </v>
      </c>
      <c r="B19" s="360"/>
      <c r="C19" s="360"/>
      <c r="D19" s="360"/>
      <c r="E19" s="360"/>
      <c r="F19" s="360"/>
      <c r="G19" s="360"/>
      <c r="H19" s="360"/>
      <c r="I19" s="358" t="str">
        <f aca="true">IF(Build!BQ630,OFFSET(Build!BM$616,Build!BQ630,0)," ")</f>
        <v> </v>
      </c>
      <c r="J19" s="358"/>
      <c r="K19" s="366" t="str">
        <f aca="true">IF(Build!BQ630,OFFSET(Build!BK$616,Build!BQ630,0)," ")</f>
        <v> </v>
      </c>
      <c r="L19" s="366"/>
      <c r="M19" s="383" t="str">
        <f aca="true">IF(Build!BH620,OFFSET(Build!K$35,Build!BH620,0)," ")</f>
        <v> </v>
      </c>
      <c r="N19" s="383"/>
      <c r="O19" s="383"/>
      <c r="P19" s="383"/>
      <c r="Q19" s="383"/>
      <c r="R19" s="383"/>
      <c r="S19" s="383"/>
      <c r="T19" s="383"/>
      <c r="U19" s="383"/>
      <c r="V19" s="383"/>
      <c r="W19" s="375" t="str">
        <f aca="false">IF(M19=" "," ",VLOOKUP(M19,Talents!G$4:J$191,2,0))</f>
        <v> </v>
      </c>
      <c r="X19" s="375"/>
      <c r="Y19" s="375"/>
      <c r="Z19" s="375"/>
      <c r="AA19" s="375"/>
      <c r="AB19" s="375"/>
      <c r="AC19" s="375"/>
      <c r="AD19" s="375"/>
      <c r="AE19" s="375"/>
      <c r="AF19" s="375"/>
      <c r="AG19" s="358" t="str">
        <f aca="false">IF(M19=" "," ",VLOOKUP(M19,KnackRank,3,0))</f>
        <v> </v>
      </c>
      <c r="AH19" s="358"/>
      <c r="AI19" s="358" t="str">
        <f aca="false">IF(M19=" "," ",VLOOKUP(M19,Strain1,4,0))</f>
        <v> </v>
      </c>
      <c r="AJ19" s="358"/>
      <c r="AK19" s="385"/>
      <c r="AL19" s="385"/>
      <c r="AM19" s="385"/>
    </row>
    <row r="20" customFormat="false" ht="11.1" hidden="false" customHeight="true" outlineLevel="0" collapsed="false">
      <c r="A20" s="360" t="str">
        <f aca="true">IF(Build!BQ631,OFFSET(Build!BJ$616,Build!BQ631,0)," ")</f>
        <v> </v>
      </c>
      <c r="B20" s="360"/>
      <c r="C20" s="360"/>
      <c r="D20" s="360"/>
      <c r="E20" s="360"/>
      <c r="F20" s="360"/>
      <c r="G20" s="360"/>
      <c r="H20" s="360"/>
      <c r="I20" s="358" t="str">
        <f aca="true">IF(Build!BQ631,OFFSET(Build!BM$616,Build!BQ631,0)," ")</f>
        <v> </v>
      </c>
      <c r="J20" s="358"/>
      <c r="K20" s="366" t="str">
        <f aca="true">IF(Build!BQ631,OFFSET(Build!BK$616,Build!BQ631,0)," ")</f>
        <v> </v>
      </c>
      <c r="L20" s="366"/>
      <c r="M20" s="383" t="str">
        <f aca="true">IF(Build!BH621,OFFSET(Build!K$35,Build!BH621,0)," ")</f>
        <v> </v>
      </c>
      <c r="N20" s="383"/>
      <c r="O20" s="383"/>
      <c r="P20" s="383"/>
      <c r="Q20" s="383"/>
      <c r="R20" s="383"/>
      <c r="S20" s="383"/>
      <c r="T20" s="383"/>
      <c r="U20" s="383"/>
      <c r="V20" s="383"/>
      <c r="W20" s="375" t="str">
        <f aca="false">IF(M20=" "," ",VLOOKUP(M20,Talents!G$4:J$191,2,0))</f>
        <v> </v>
      </c>
      <c r="X20" s="375"/>
      <c r="Y20" s="375"/>
      <c r="Z20" s="375"/>
      <c r="AA20" s="375"/>
      <c r="AB20" s="375"/>
      <c r="AC20" s="375"/>
      <c r="AD20" s="375"/>
      <c r="AE20" s="375"/>
      <c r="AF20" s="375"/>
      <c r="AG20" s="358" t="str">
        <f aca="false">IF(M20=" "," ",VLOOKUP(M20,KnackRank,3,0))</f>
        <v> </v>
      </c>
      <c r="AH20" s="358"/>
      <c r="AI20" s="358" t="str">
        <f aca="false">IF(M20=" "," ",VLOOKUP(M20,Strain1,4,0))</f>
        <v> </v>
      </c>
      <c r="AJ20" s="358"/>
      <c r="AK20" s="385"/>
      <c r="AL20" s="385"/>
      <c r="AM20" s="385"/>
    </row>
    <row r="21" customFormat="false" ht="11.1" hidden="false" customHeight="true" outlineLevel="0" collapsed="false">
      <c r="A21" s="429" t="s">
        <v>1042</v>
      </c>
      <c r="B21" s="429"/>
      <c r="C21" s="429"/>
      <c r="D21" s="429"/>
      <c r="E21" s="429"/>
      <c r="F21" s="429"/>
      <c r="G21" s="429"/>
      <c r="H21" s="429"/>
      <c r="I21" s="419" t="n">
        <f aca="false">Build!BN661</f>
        <v>2</v>
      </c>
      <c r="J21" s="419"/>
      <c r="K21" s="430" t="n">
        <f aca="false">Build!BL661</f>
        <v>8</v>
      </c>
      <c r="L21" s="430"/>
      <c r="M21" s="383" t="str">
        <f aca="true">IF(Build!BH622,OFFSET(Build!K$35,Build!BH622,0)," ")</f>
        <v> </v>
      </c>
      <c r="N21" s="383"/>
      <c r="O21" s="383"/>
      <c r="P21" s="383"/>
      <c r="Q21" s="383"/>
      <c r="R21" s="383"/>
      <c r="S21" s="383"/>
      <c r="T21" s="383"/>
      <c r="U21" s="383"/>
      <c r="V21" s="383"/>
      <c r="W21" s="375" t="str">
        <f aca="false">IF(M21=" "," ",VLOOKUP(M21,Talents!G$4:J$191,2,0))</f>
        <v> </v>
      </c>
      <c r="X21" s="375"/>
      <c r="Y21" s="375"/>
      <c r="Z21" s="375"/>
      <c r="AA21" s="375"/>
      <c r="AB21" s="375"/>
      <c r="AC21" s="375"/>
      <c r="AD21" s="375"/>
      <c r="AE21" s="375"/>
      <c r="AF21" s="375"/>
      <c r="AG21" s="358" t="str">
        <f aca="false">IF(M21=" "," ",VLOOKUP(M21,KnackRank,3,0))</f>
        <v> </v>
      </c>
      <c r="AH21" s="358"/>
      <c r="AI21" s="358" t="str">
        <f aca="false">IF(M21=" "," ",VLOOKUP(M21,Strain1,4,0))</f>
        <v> </v>
      </c>
      <c r="AJ21" s="358"/>
      <c r="AK21" s="385"/>
      <c r="AL21" s="385"/>
      <c r="AM21" s="385"/>
    </row>
    <row r="22" customFormat="false" ht="11.1" hidden="false" customHeight="true" outlineLevel="0" collapsed="false">
      <c r="A22" s="408" t="s">
        <v>1155</v>
      </c>
      <c r="B22" s="408"/>
      <c r="C22" s="408"/>
      <c r="D22" s="408"/>
      <c r="E22" s="408"/>
      <c r="F22" s="408"/>
      <c r="G22" s="408"/>
      <c r="H22" s="408"/>
      <c r="I22" s="408"/>
      <c r="J22" s="408"/>
      <c r="K22" s="408"/>
      <c r="L22" s="408"/>
      <c r="M22" s="383" t="str">
        <f aca="true">IF(Build!BH623,OFFSET(Build!K$35,Build!BH623,0)," ")</f>
        <v> </v>
      </c>
      <c r="N22" s="383"/>
      <c r="O22" s="383"/>
      <c r="P22" s="383"/>
      <c r="Q22" s="383"/>
      <c r="R22" s="383"/>
      <c r="S22" s="383"/>
      <c r="T22" s="383"/>
      <c r="U22" s="383"/>
      <c r="V22" s="383"/>
      <c r="W22" s="375" t="str">
        <f aca="false">IF(M22=" "," ",VLOOKUP(M22,Talents!G$4:J$191,2,0))</f>
        <v> </v>
      </c>
      <c r="X22" s="375"/>
      <c r="Y22" s="375"/>
      <c r="Z22" s="375"/>
      <c r="AA22" s="375"/>
      <c r="AB22" s="375"/>
      <c r="AC22" s="375"/>
      <c r="AD22" s="375"/>
      <c r="AE22" s="375"/>
      <c r="AF22" s="375"/>
      <c r="AG22" s="358" t="str">
        <f aca="false">IF(M22=" "," ",VLOOKUP(M22,KnackRank,3,0))</f>
        <v> </v>
      </c>
      <c r="AH22" s="358"/>
      <c r="AI22" s="358" t="str">
        <f aca="false">IF(M22=" "," ",VLOOKUP(M22,Strain1,4,0))</f>
        <v> </v>
      </c>
      <c r="AJ22" s="358"/>
      <c r="AK22" s="385"/>
      <c r="AL22" s="385"/>
      <c r="AM22" s="385"/>
    </row>
    <row r="23" customFormat="false" ht="11.1" hidden="false" customHeight="true" outlineLevel="0" collapsed="false">
      <c r="A23" s="431" t="s">
        <v>1064</v>
      </c>
      <c r="B23" s="431"/>
      <c r="C23" s="431"/>
      <c r="D23" s="431"/>
      <c r="E23" s="431"/>
      <c r="F23" s="431"/>
      <c r="G23" s="431"/>
      <c r="H23" s="431"/>
      <c r="I23" s="431"/>
      <c r="J23" s="431"/>
      <c r="K23" s="403" t="s">
        <v>196</v>
      </c>
      <c r="L23" s="403"/>
      <c r="M23" s="383" t="str">
        <f aca="true">IF(Build!BH624,OFFSET(Build!K$35,Build!BH624,0)," ")</f>
        <v> </v>
      </c>
      <c r="N23" s="383"/>
      <c r="O23" s="383"/>
      <c r="P23" s="383"/>
      <c r="Q23" s="383"/>
      <c r="R23" s="383"/>
      <c r="S23" s="383"/>
      <c r="T23" s="383"/>
      <c r="U23" s="383"/>
      <c r="V23" s="383"/>
      <c r="W23" s="375" t="str">
        <f aca="false">IF(M23=" "," ",VLOOKUP(M23,Talents!G$4:J$191,2,0))</f>
        <v> </v>
      </c>
      <c r="X23" s="375"/>
      <c r="Y23" s="375"/>
      <c r="Z23" s="375"/>
      <c r="AA23" s="375"/>
      <c r="AB23" s="375"/>
      <c r="AC23" s="375"/>
      <c r="AD23" s="375"/>
      <c r="AE23" s="375"/>
      <c r="AF23" s="375"/>
      <c r="AG23" s="358" t="str">
        <f aca="false">IF(M23=" "," ",VLOOKUP(M23,KnackRank,3,0))</f>
        <v> </v>
      </c>
      <c r="AH23" s="358"/>
      <c r="AI23" s="358" t="str">
        <f aca="false">IF(M23=" "," ",VLOOKUP(M23,Strain1,4,0))</f>
        <v> </v>
      </c>
      <c r="AJ23" s="358"/>
      <c r="AK23" s="385"/>
      <c r="AL23" s="385"/>
      <c r="AM23" s="385"/>
    </row>
    <row r="24" customFormat="false" ht="11.1" hidden="false" customHeight="true" outlineLevel="0" collapsed="false">
      <c r="A24" s="360" t="str">
        <f aca="true">IF(Build!AQ617,OFFSET(Build!AM$616,Build!AQ617,0),"")</f>
        <v>Vandgaldens Morning</v>
      </c>
      <c r="B24" s="360"/>
      <c r="C24" s="360"/>
      <c r="D24" s="360"/>
      <c r="E24" s="360"/>
      <c r="F24" s="360"/>
      <c r="G24" s="360"/>
      <c r="H24" s="360"/>
      <c r="I24" s="360"/>
      <c r="J24" s="360"/>
      <c r="K24" s="411" t="n">
        <f aca="true">IF(Build!AQ617,OFFSET(Build!AN$616,Build!AQ617,0),"")</f>
        <v>3</v>
      </c>
      <c r="L24" s="411"/>
      <c r="M24" s="383" t="str">
        <f aca="true">IF(Build!BH625,OFFSET(Build!K$35,Build!BH625,0)," ")</f>
        <v> </v>
      </c>
      <c r="N24" s="383"/>
      <c r="O24" s="383"/>
      <c r="P24" s="383"/>
      <c r="Q24" s="383"/>
      <c r="R24" s="383"/>
      <c r="S24" s="383"/>
      <c r="T24" s="383"/>
      <c r="U24" s="383"/>
      <c r="V24" s="383"/>
      <c r="W24" s="375" t="str">
        <f aca="false">IF(M24=" "," ",VLOOKUP(M24,Talents!G$4:J$191,2,0))</f>
        <v> </v>
      </c>
      <c r="X24" s="375"/>
      <c r="Y24" s="375"/>
      <c r="Z24" s="375"/>
      <c r="AA24" s="375"/>
      <c r="AB24" s="375"/>
      <c r="AC24" s="375"/>
      <c r="AD24" s="375"/>
      <c r="AE24" s="375"/>
      <c r="AF24" s="375"/>
      <c r="AG24" s="358" t="str">
        <f aca="false">IF(M24=" "," ",VLOOKUP(M24,KnackRank,3,0))</f>
        <v> </v>
      </c>
      <c r="AH24" s="358"/>
      <c r="AI24" s="358" t="str">
        <f aca="false">IF(M24=" "," ",VLOOKUP(M24,Strain1,4,0))</f>
        <v> </v>
      </c>
      <c r="AJ24" s="358"/>
      <c r="AK24" s="385"/>
      <c r="AL24" s="385"/>
      <c r="AM24" s="385"/>
    </row>
    <row r="25" customFormat="false" ht="11.1" hidden="false" customHeight="true" outlineLevel="0" collapsed="false">
      <c r="A25" s="360" t="str">
        <f aca="true">IF(Build!AQ618,OFFSET(Build!AM$616,Build!AQ618,0),"")</f>
        <v>Rękawice Kowenas</v>
      </c>
      <c r="B25" s="360"/>
      <c r="C25" s="360"/>
      <c r="D25" s="360"/>
      <c r="E25" s="360"/>
      <c r="F25" s="360"/>
      <c r="G25" s="360"/>
      <c r="H25" s="360"/>
      <c r="I25" s="360"/>
      <c r="J25" s="360"/>
      <c r="K25" s="411" t="n">
        <f aca="true">IF(Build!AQ618,OFFSET(Build!AN$616,Build!AQ618,0),"")</f>
        <v>4</v>
      </c>
      <c r="L25" s="411"/>
      <c r="M25" s="383" t="str">
        <f aca="true">IF(Build!BH626,OFFSET(Build!K$35,Build!BH626,0)," ")</f>
        <v> </v>
      </c>
      <c r="N25" s="383"/>
      <c r="O25" s="383"/>
      <c r="P25" s="383"/>
      <c r="Q25" s="383"/>
      <c r="R25" s="383"/>
      <c r="S25" s="383"/>
      <c r="T25" s="383"/>
      <c r="U25" s="383"/>
      <c r="V25" s="383"/>
      <c r="W25" s="375" t="str">
        <f aca="false">IF(M25=" "," ",VLOOKUP(M25,Talents!G$4:J$191,2,0))</f>
        <v> </v>
      </c>
      <c r="X25" s="375"/>
      <c r="Y25" s="375"/>
      <c r="Z25" s="375"/>
      <c r="AA25" s="375"/>
      <c r="AB25" s="375"/>
      <c r="AC25" s="375"/>
      <c r="AD25" s="375"/>
      <c r="AE25" s="375"/>
      <c r="AF25" s="375"/>
      <c r="AG25" s="358" t="str">
        <f aca="false">IF(M25=" "," ",VLOOKUP(M25,KnackRank,3,0))</f>
        <v> </v>
      </c>
      <c r="AH25" s="358"/>
      <c r="AI25" s="358" t="str">
        <f aca="false">IF(M25=" "," ",VLOOKUP(M25,Strain1,4,0))</f>
        <v> </v>
      </c>
      <c r="AJ25" s="358"/>
      <c r="AK25" s="385"/>
      <c r="AL25" s="385"/>
      <c r="AM25" s="385"/>
    </row>
    <row r="26" customFormat="false" ht="11.1" hidden="false" customHeight="true" outlineLevel="0" collapsed="false">
      <c r="A26" s="360" t="str">
        <f aca="true">IF(Build!AQ619,OFFSET(Build!AM$616,Build!AQ619,0),"")</f>
        <v>Zbroja Osłona Obieżyświata</v>
      </c>
      <c r="B26" s="360"/>
      <c r="C26" s="360"/>
      <c r="D26" s="360"/>
      <c r="E26" s="360"/>
      <c r="F26" s="360"/>
      <c r="G26" s="360"/>
      <c r="H26" s="360"/>
      <c r="I26" s="360"/>
      <c r="J26" s="360"/>
      <c r="K26" s="411" t="n">
        <f aca="true">IF(Build!AQ619,OFFSET(Build!AN$616,Build!AQ619,0),"")</f>
        <v>4</v>
      </c>
      <c r="L26" s="411"/>
      <c r="M26" s="432" t="s">
        <v>23</v>
      </c>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3"/>
    </row>
    <row r="27" customFormat="false" ht="11.1" hidden="false" customHeight="true" outlineLevel="0" collapsed="false">
      <c r="A27" s="360" t="str">
        <f aca="true">IF(Build!AQ620,OFFSET(Build!AM$616,Build!AQ620,0),"")</f>
        <v>Pierścien Obrony Manipur</v>
      </c>
      <c r="B27" s="360"/>
      <c r="C27" s="360"/>
      <c r="D27" s="360"/>
      <c r="E27" s="360"/>
      <c r="F27" s="360"/>
      <c r="G27" s="360"/>
      <c r="H27" s="360"/>
      <c r="I27" s="360"/>
      <c r="J27" s="360"/>
      <c r="K27" s="411" t="n">
        <f aca="true">IF(Build!AQ620,OFFSET(Build!AN$616,Build!AQ620,0),"")</f>
        <v>4</v>
      </c>
      <c r="L27" s="411"/>
      <c r="M27" s="425"/>
      <c r="N27" s="425"/>
      <c r="O27" s="425"/>
      <c r="P27" s="425"/>
      <c r="Q27" s="425"/>
      <c r="R27" s="425"/>
      <c r="S27" s="425"/>
      <c r="T27" s="425"/>
      <c r="U27" s="425"/>
      <c r="V27" s="425"/>
      <c r="W27" s="425"/>
      <c r="X27" s="425"/>
      <c r="Y27" s="426" t="s">
        <v>196</v>
      </c>
      <c r="Z27" s="426"/>
      <c r="AA27" s="426" t="s">
        <v>230</v>
      </c>
      <c r="AB27" s="426"/>
      <c r="AC27" s="426"/>
      <c r="AD27" s="426" t="s">
        <v>341</v>
      </c>
      <c r="AE27" s="426"/>
      <c r="AF27" s="426" t="s">
        <v>979</v>
      </c>
      <c r="AG27" s="426"/>
      <c r="AH27" s="426"/>
      <c r="AI27" s="426"/>
      <c r="AJ27" s="434" t="s">
        <v>1127</v>
      </c>
      <c r="AK27" s="434"/>
      <c r="AL27" s="426" t="s">
        <v>1068</v>
      </c>
      <c r="AM27" s="426"/>
      <c r="AN27" s="433"/>
    </row>
    <row r="28" customFormat="false" ht="11.1" hidden="false" customHeight="true" outlineLevel="0" collapsed="false">
      <c r="A28" s="360" t="str">
        <f aca="true">IF(Build!AQ621,OFFSET(Build!AM$616,Build!AQ621,0),"")</f>
        <v>Figurka szachowa Kiro</v>
      </c>
      <c r="B28" s="360"/>
      <c r="C28" s="360"/>
      <c r="D28" s="360"/>
      <c r="E28" s="360"/>
      <c r="F28" s="360"/>
      <c r="G28" s="360"/>
      <c r="H28" s="360"/>
      <c r="I28" s="360"/>
      <c r="J28" s="360"/>
      <c r="K28" s="411" t="n">
        <f aca="true">IF(Build!AQ621,OFFSET(Build!AN$616,Build!AQ621,0),"")</f>
        <v>4</v>
      </c>
      <c r="L28" s="411"/>
      <c r="M28" s="435" t="str">
        <f aca="true">IF(Build!AW617,OFFSET(Build!AR$616,Build!AW617,0)," ")</f>
        <v>Magical Creature Lore</v>
      </c>
      <c r="N28" s="435"/>
      <c r="O28" s="435"/>
      <c r="P28" s="435"/>
      <c r="Q28" s="435"/>
      <c r="R28" s="435"/>
      <c r="S28" s="435"/>
      <c r="T28" s="435"/>
      <c r="U28" s="435"/>
      <c r="V28" s="435"/>
      <c r="W28" s="435"/>
      <c r="X28" s="435"/>
      <c r="Y28" s="436" t="n">
        <f aca="true">IF(Build!AW617,OFFSET(Build!AS$616,Build!AW617,0)," ")</f>
        <v>1</v>
      </c>
      <c r="Z28" s="436"/>
      <c r="AA28" s="436" t="str">
        <f aca="true">IF(M28=" "," ",IF(OFFSET(Build!AU$616,Build!AW617,0)=0,"n/a","R+"&amp;OFFSET(Build!AU$616,Build!AW617,0)))</f>
        <v>R+P</v>
      </c>
      <c r="AB28" s="436"/>
      <c r="AC28" s="436"/>
      <c r="AD28" s="436" t="n">
        <f aca="true">IF(M28=" "," ",IF(OFFSET(Build!AU$616,Build!AW617,0)=0,"-",OFFSET(Build!AS$616,Build!AW617,0)+VLOOKUP(OFFSET(Build!AU$616,Build!AW617,0),Build!G$597:L$603,6,0)))</f>
        <v>8</v>
      </c>
      <c r="AE28" s="436"/>
      <c r="AF28" s="436" t="str">
        <f aca="true">IF(M28=" "," ",IF(AD28&lt;&gt;"-",OFFSET(ActionDice,AD28,0),"-"))</f>
        <v>2d6</v>
      </c>
      <c r="AG28" s="436"/>
      <c r="AH28" s="436"/>
      <c r="AI28" s="436"/>
      <c r="AJ28" s="358" t="e">
        <f aca="false">IF(M28="","",VLOOKUP(M28,SkillsTable,3,0))</f>
        <v>#N/A</v>
      </c>
      <c r="AK28" s="358"/>
      <c r="AL28" s="437" t="e">
        <f aca="false">IF($M28=""," ",VLOOKUP($M28,SkillsTable,4,0))</f>
        <v>#N/A</v>
      </c>
      <c r="AM28" s="437"/>
      <c r="AN28" s="433"/>
    </row>
    <row r="29" customFormat="false" ht="11.1" hidden="false" customHeight="true" outlineLevel="0" collapsed="false">
      <c r="A29" s="360" t="str">
        <f aca="true">IF(Build!AQ622,OFFSET(Build!AM$616,Build!AQ622,0),"")</f>
        <v/>
      </c>
      <c r="B29" s="360"/>
      <c r="C29" s="360"/>
      <c r="D29" s="360"/>
      <c r="E29" s="360"/>
      <c r="F29" s="360"/>
      <c r="G29" s="360"/>
      <c r="H29" s="360"/>
      <c r="I29" s="360"/>
      <c r="J29" s="360"/>
      <c r="K29" s="411" t="str">
        <f aca="true">IF(Build!AQ622,OFFSET(Build!AN$616,Build!AQ622,0),"")</f>
        <v/>
      </c>
      <c r="L29" s="411"/>
      <c r="M29" s="435" t="str">
        <f aca="true">IF(Build!AW618,OFFSET(Build!AR$616,Build!AW618,0)," ")</f>
        <v>Throal History</v>
      </c>
      <c r="N29" s="435"/>
      <c r="O29" s="435"/>
      <c r="P29" s="435"/>
      <c r="Q29" s="435"/>
      <c r="R29" s="435"/>
      <c r="S29" s="435"/>
      <c r="T29" s="435"/>
      <c r="U29" s="435"/>
      <c r="V29" s="435"/>
      <c r="W29" s="435"/>
      <c r="X29" s="435"/>
      <c r="Y29" s="358" t="n">
        <f aca="true">IF(Build!AW618,OFFSET(Build!AS$616,Build!AW618,0)," ")</f>
        <v>1</v>
      </c>
      <c r="Z29" s="358"/>
      <c r="AA29" s="436" t="str">
        <f aca="true">IF(M29=" "," ",IF(OFFSET(Build!AU$616,Build!AW618,0)=0,"n/a","R+"&amp;OFFSET(Build!AU$616,Build!AW618,0)))</f>
        <v>R+P</v>
      </c>
      <c r="AB29" s="436"/>
      <c r="AC29" s="436"/>
      <c r="AD29" s="436" t="n">
        <f aca="true">IF(M29=" "," ",IF(OFFSET(Build!AU$616,Build!AW618,0)=0,"-",OFFSET(Build!AS$616,Build!AW618,0)+VLOOKUP(OFFSET(Build!AU$616,Build!AW618,0),Build!G$597:L$603,6,0)))</f>
        <v>8</v>
      </c>
      <c r="AE29" s="436"/>
      <c r="AF29" s="436" t="str">
        <f aca="true">IF(M29=" "," ",IF(AD29&lt;&gt;"-",OFFSET(ActionDice,AD29,0),"-"))</f>
        <v>2d6</v>
      </c>
      <c r="AG29" s="436"/>
      <c r="AH29" s="436"/>
      <c r="AI29" s="436"/>
      <c r="AJ29" s="358" t="e">
        <f aca="false">IF(M29=""," ",VLOOKUP(M29,SkillsTable,3,0))</f>
        <v>#N/A</v>
      </c>
      <c r="AK29" s="358"/>
      <c r="AL29" s="437" t="e">
        <f aca="false">IF($M29=""," ",VLOOKUP($M29,SkillsTable,4,0))</f>
        <v>#N/A</v>
      </c>
      <c r="AM29" s="437"/>
      <c r="AN29" s="433"/>
    </row>
    <row r="30" customFormat="false" ht="11.1" hidden="false" customHeight="true" outlineLevel="0" collapsed="false">
      <c r="A30" s="360" t="str">
        <f aca="true">IF(Build!AQ623,OFFSET(Build!AM$616,Build!AQ623,0),"")</f>
        <v/>
      </c>
      <c r="B30" s="360"/>
      <c r="C30" s="360"/>
      <c r="D30" s="360"/>
      <c r="E30" s="360"/>
      <c r="F30" s="360"/>
      <c r="G30" s="360"/>
      <c r="H30" s="360"/>
      <c r="I30" s="360"/>
      <c r="J30" s="360"/>
      <c r="K30" s="411" t="str">
        <f aca="true">IF(Build!AQ623,OFFSET(Build!AN$616,Build!AQ623,0),"")</f>
        <v/>
      </c>
      <c r="L30" s="411"/>
      <c r="M30" s="435" t="str">
        <f aca="true">IF(Build!AW619,OFFSET(Build!AR$616,Build!AW619,0)," ")</f>
        <v>Racial Politics</v>
      </c>
      <c r="N30" s="435"/>
      <c r="O30" s="435"/>
      <c r="P30" s="435"/>
      <c r="Q30" s="435"/>
      <c r="R30" s="435"/>
      <c r="S30" s="435"/>
      <c r="T30" s="435"/>
      <c r="U30" s="435"/>
      <c r="V30" s="435"/>
      <c r="W30" s="435"/>
      <c r="X30" s="435"/>
      <c r="Y30" s="358" t="n">
        <f aca="true">IF(Build!AW619,OFFSET(Build!AS$616,Build!AW619,0)," ")</f>
        <v>1</v>
      </c>
      <c r="Z30" s="358"/>
      <c r="AA30" s="436" t="str">
        <f aca="true">IF(M30=" "," ",IF(OFFSET(Build!AU$616,Build!AW619,0)=0,"n/a","R+"&amp;OFFSET(Build!AU$616,Build!AW619,0)))</f>
        <v>R+P</v>
      </c>
      <c r="AB30" s="436"/>
      <c r="AC30" s="436"/>
      <c r="AD30" s="436" t="n">
        <f aca="true">IF(M30=" "," ",IF(OFFSET(Build!AU$616,Build!AW619,0)=0,"-",OFFSET(Build!AS$616,Build!AW619,0)+VLOOKUP(OFFSET(Build!AU$616,Build!AW619,0),Build!G$597:L$603,6,0)))</f>
        <v>8</v>
      </c>
      <c r="AE30" s="436"/>
      <c r="AF30" s="436" t="str">
        <f aca="true">IF(M30=" "," ",IF(AD30&lt;&gt;"-",OFFSET(ActionDice,AD30,0),"-"))</f>
        <v>2d6</v>
      </c>
      <c r="AG30" s="436"/>
      <c r="AH30" s="436"/>
      <c r="AI30" s="436"/>
      <c r="AJ30" s="358" t="e">
        <f aca="false">IF(M30="","",VLOOKUP(M30,SkillsTable,3,0))</f>
        <v>#N/A</v>
      </c>
      <c r="AK30" s="358"/>
      <c r="AL30" s="437" t="e">
        <f aca="false">IF($M30=""," ",VLOOKUP($M30,SkillsTable,4,0))</f>
        <v>#N/A</v>
      </c>
      <c r="AM30" s="437"/>
      <c r="AN30" s="433"/>
    </row>
    <row r="31" customFormat="false" ht="11.1" hidden="false" customHeight="true" outlineLevel="0" collapsed="false">
      <c r="A31" s="360" t="str">
        <f aca="true">IF(Build!AQ624,OFFSET(Build!AM$616,Build!AQ624,0),"")</f>
        <v/>
      </c>
      <c r="B31" s="360"/>
      <c r="C31" s="360"/>
      <c r="D31" s="360"/>
      <c r="E31" s="360"/>
      <c r="F31" s="360"/>
      <c r="G31" s="360"/>
      <c r="H31" s="360"/>
      <c r="I31" s="360"/>
      <c r="J31" s="360"/>
      <c r="K31" s="411" t="str">
        <f aca="true">IF(Build!AQ624,OFFSET(Build!AN$616,Build!AQ624,0),"")</f>
        <v/>
      </c>
      <c r="L31" s="411"/>
      <c r="M31" s="435" t="str">
        <f aca="true">IF(Build!AW620,OFFSET(Build!AR$616,Build!AW620,0)," ")</f>
        <v>Trade Routes of Barsaive</v>
      </c>
      <c r="N31" s="435"/>
      <c r="O31" s="435"/>
      <c r="P31" s="435"/>
      <c r="Q31" s="435"/>
      <c r="R31" s="435"/>
      <c r="S31" s="435"/>
      <c r="T31" s="435"/>
      <c r="U31" s="435"/>
      <c r="V31" s="435"/>
      <c r="W31" s="435"/>
      <c r="X31" s="435"/>
      <c r="Y31" s="358" t="n">
        <f aca="true">IF(Build!AW620,OFFSET(Build!AS$616,Build!AW620,0)," ")</f>
        <v>1</v>
      </c>
      <c r="Z31" s="358"/>
      <c r="AA31" s="436" t="str">
        <f aca="true">IF(M31=" "," ",IF(OFFSET(Build!AU$616,Build!AW620,0)=0,"n/a","R+"&amp;OFFSET(Build!AU$616,Build!AW620,0)))</f>
        <v>R+P</v>
      </c>
      <c r="AB31" s="436"/>
      <c r="AC31" s="436"/>
      <c r="AD31" s="436" t="n">
        <f aca="true">IF(M31=" "," ",IF(OFFSET(Build!AU$616,Build!AW620,0)=0,"-",OFFSET(Build!AS$616,Build!AW620,0)+VLOOKUP(OFFSET(Build!AU$616,Build!AW620,0),Build!G$597:L$603,6,0)))</f>
        <v>8</v>
      </c>
      <c r="AE31" s="436"/>
      <c r="AF31" s="436" t="str">
        <f aca="true">IF(M31=" "," ",IF(AD31&lt;&gt;"-",OFFSET(ActionDice,AD31,0),"-"))</f>
        <v>2d6</v>
      </c>
      <c r="AG31" s="436"/>
      <c r="AH31" s="436"/>
      <c r="AI31" s="436"/>
      <c r="AJ31" s="358" t="e">
        <f aca="false">IF(M31="","",VLOOKUP(M31,SkillsTable,3,0))</f>
        <v>#N/A</v>
      </c>
      <c r="AK31" s="358"/>
      <c r="AL31" s="437" t="e">
        <f aca="false">IF($M31=""," ",VLOOKUP($M31,SkillsTable,4,0))</f>
        <v>#N/A</v>
      </c>
      <c r="AM31" s="437"/>
      <c r="AN31" s="433"/>
    </row>
    <row r="32" customFormat="false" ht="11.1" hidden="false" customHeight="true" outlineLevel="0" collapsed="false">
      <c r="A32" s="360" t="str">
        <f aca="true">IF(Build!AQ625,OFFSET(Build!AM$616,Build!AQ625,0),"")</f>
        <v/>
      </c>
      <c r="B32" s="360"/>
      <c r="C32" s="360"/>
      <c r="D32" s="360"/>
      <c r="E32" s="360"/>
      <c r="F32" s="360"/>
      <c r="G32" s="360"/>
      <c r="H32" s="360"/>
      <c r="I32" s="360"/>
      <c r="J32" s="360"/>
      <c r="K32" s="411" t="str">
        <f aca="true">IF(Build!AQ625,OFFSET(Build!AN$616,Build!AQ625,0),"")</f>
        <v/>
      </c>
      <c r="L32" s="411"/>
      <c r="M32" s="435" t="str">
        <f aca="true">IF(Build!AW621,OFFSET(Build!AR$616,Build!AW621,0)," ")</f>
        <v>Secret Societies</v>
      </c>
      <c r="N32" s="435"/>
      <c r="O32" s="435"/>
      <c r="P32" s="435"/>
      <c r="Q32" s="435"/>
      <c r="R32" s="435"/>
      <c r="S32" s="435"/>
      <c r="T32" s="435"/>
      <c r="U32" s="435"/>
      <c r="V32" s="435"/>
      <c r="W32" s="435"/>
      <c r="X32" s="435"/>
      <c r="Y32" s="358" t="n">
        <f aca="true">IF(Build!AW621,OFFSET(Build!AS$616,Build!AW621,0)," ")</f>
        <v>1</v>
      </c>
      <c r="Z32" s="358"/>
      <c r="AA32" s="436" t="str">
        <f aca="true">IF(M32=" "," ",IF(OFFSET(Build!AU$616,Build!AW621,0)=0,"n/a","R+"&amp;OFFSET(Build!AU$616,Build!AW621,0)))</f>
        <v>R+P</v>
      </c>
      <c r="AB32" s="436"/>
      <c r="AC32" s="436"/>
      <c r="AD32" s="436" t="n">
        <f aca="true">IF(M32=" "," ",IF(OFFSET(Build!AU$616,Build!AW621,0)=0,"-",OFFSET(Build!AS$616,Build!AW621,0)+VLOOKUP(OFFSET(Build!AU$616,Build!AW621,0),Build!G$597:L$603,6,0)))</f>
        <v>8</v>
      </c>
      <c r="AE32" s="436"/>
      <c r="AF32" s="436" t="str">
        <f aca="true">IF(M32=" "," ",IF(AD32&lt;&gt;"-",OFFSET(ActionDice,AD32,0),"-"))</f>
        <v>2d6</v>
      </c>
      <c r="AG32" s="436"/>
      <c r="AH32" s="436"/>
      <c r="AI32" s="436"/>
      <c r="AJ32" s="358" t="e">
        <f aca="false">IF(M32="","",VLOOKUP(M32,SkillsTable,3,0))</f>
        <v>#N/A</v>
      </c>
      <c r="AK32" s="358"/>
      <c r="AL32" s="437" t="e">
        <f aca="false">IF($M32=""," ",VLOOKUP($M32,SkillsTable,4,0))</f>
        <v>#N/A</v>
      </c>
      <c r="AM32" s="437"/>
      <c r="AN32" s="433"/>
    </row>
    <row r="33" customFormat="false" ht="11.1" hidden="false" customHeight="true" outlineLevel="0" collapsed="false">
      <c r="A33" s="360" t="str">
        <f aca="true">IF(Build!AQ626,OFFSET(Build!AM$616,Build!AQ626,0),"")</f>
        <v/>
      </c>
      <c r="B33" s="360"/>
      <c r="C33" s="360"/>
      <c r="D33" s="360"/>
      <c r="E33" s="360"/>
      <c r="F33" s="360"/>
      <c r="G33" s="360"/>
      <c r="H33" s="360"/>
      <c r="I33" s="360"/>
      <c r="J33" s="360"/>
      <c r="K33" s="411" t="str">
        <f aca="true">IF(Build!AQ626,OFFSET(Build!AN$616,Build!AQ626,0),"")</f>
        <v/>
      </c>
      <c r="L33" s="411"/>
      <c r="M33" s="435" t="str">
        <f aca="true">IF(Build!AW622,OFFSET(Build!AR$616,Build!AW622,0)," ")</f>
        <v>Craftsman</v>
      </c>
      <c r="N33" s="435"/>
      <c r="O33" s="435"/>
      <c r="P33" s="435"/>
      <c r="Q33" s="435"/>
      <c r="R33" s="435"/>
      <c r="S33" s="435"/>
      <c r="T33" s="435"/>
      <c r="U33" s="435"/>
      <c r="V33" s="435"/>
      <c r="W33" s="435"/>
      <c r="X33" s="435"/>
      <c r="Y33" s="358" t="n">
        <f aca="true">IF(Build!AW622,OFFSET(Build!AS$616,Build!AW622,0)," ")</f>
        <v>1</v>
      </c>
      <c r="Z33" s="358"/>
      <c r="AA33" s="436" t="str">
        <f aca="true">IF(M33=" "," ",IF(OFFSET(Build!AU$616,Build!AW622,0)=0,"n/a","R+"&amp;OFFSET(Build!AU$616,Build!AW622,0)))</f>
        <v>R+D</v>
      </c>
      <c r="AB33" s="436"/>
      <c r="AC33" s="436"/>
      <c r="AD33" s="436" t="n">
        <f aca="true">IF(M33=" "," ",IF(OFFSET(Build!AU$616,Build!AW622,0)=0,"-",OFFSET(Build!AS$616,Build!AW622,0)+VLOOKUP(OFFSET(Build!AU$616,Build!AW622,0),Build!G$597:L$603,6,0)))</f>
        <v>8</v>
      </c>
      <c r="AE33" s="436"/>
      <c r="AF33" s="436" t="str">
        <f aca="true">IF(M33=" "," ",IF(AD33&lt;&gt;"-",OFFSET(ActionDice,AD33,0),"-"))</f>
        <v>2d6</v>
      </c>
      <c r="AG33" s="436"/>
      <c r="AH33" s="436"/>
      <c r="AI33" s="436"/>
      <c r="AJ33" s="358" t="e">
        <f aca="false">IF(M33="","",VLOOKUP(M33,SkillsTable,3,0))</f>
        <v>#N/A</v>
      </c>
      <c r="AK33" s="358"/>
      <c r="AL33" s="437" t="e">
        <f aca="false">IF($M33=""," ",VLOOKUP($M33,SkillsTable,4,0))</f>
        <v>#N/A</v>
      </c>
      <c r="AM33" s="437"/>
      <c r="AN33" s="433"/>
    </row>
    <row r="34" customFormat="false" ht="11.1" hidden="false" customHeight="true" outlineLevel="0" collapsed="false">
      <c r="A34" s="360" t="str">
        <f aca="true">IF(Build!AQ627,OFFSET(Build!AM$616,Build!AQ627,0),"")</f>
        <v/>
      </c>
      <c r="B34" s="360"/>
      <c r="C34" s="360"/>
      <c r="D34" s="360"/>
      <c r="E34" s="360"/>
      <c r="F34" s="360"/>
      <c r="G34" s="360"/>
      <c r="H34" s="360"/>
      <c r="I34" s="360"/>
      <c r="J34" s="360"/>
      <c r="K34" s="411" t="str">
        <f aca="true">IF(Build!AQ627,OFFSET(Build!AN$616,Build!AQ627,0),"")</f>
        <v/>
      </c>
      <c r="L34" s="411"/>
      <c r="M34" s="435" t="str">
        <f aca="true">IF(Build!AW623,OFFSET(Build!AR$616,Build!AW623,0)," ")</f>
        <v>Acting</v>
      </c>
      <c r="N34" s="435"/>
      <c r="O34" s="435"/>
      <c r="P34" s="435"/>
      <c r="Q34" s="435"/>
      <c r="R34" s="435"/>
      <c r="S34" s="435"/>
      <c r="T34" s="435"/>
      <c r="U34" s="435"/>
      <c r="V34" s="435"/>
      <c r="W34" s="435"/>
      <c r="X34" s="435"/>
      <c r="Y34" s="358" t="n">
        <f aca="true">IF(Build!AW623,OFFSET(Build!AS$616,Build!AW623,0)," ")</f>
        <v>1</v>
      </c>
      <c r="Z34" s="358"/>
      <c r="AA34" s="436" t="str">
        <f aca="true">IF(M34=" "," ",IF(OFFSET(Build!AU$616,Build!AW623,0)=0,"n/a","R+"&amp;OFFSET(Build!AU$616,Build!AW623,0)))</f>
        <v>R+C</v>
      </c>
      <c r="AB34" s="436"/>
      <c r="AC34" s="436"/>
      <c r="AD34" s="436" t="n">
        <f aca="true">IF(M34=" "," ",IF(OFFSET(Build!AU$616,Build!AW623,0)=0,"-",OFFSET(Build!AS$616,Build!AW623,0)+VLOOKUP(OFFSET(Build!AU$616,Build!AW623,0),Build!G$597:L$603,6,0)))</f>
        <v>7</v>
      </c>
      <c r="AE34" s="436"/>
      <c r="AF34" s="436" t="str">
        <f aca="true">IF(M34=" "," ",IF(AD34&lt;&gt;"-",OFFSET(ActionDice,AD34,0),"-"))</f>
        <v>d12</v>
      </c>
      <c r="AG34" s="436"/>
      <c r="AH34" s="436"/>
      <c r="AI34" s="436"/>
      <c r="AJ34" s="358" t="str">
        <f aca="false">IF(M34="","",VLOOKUP(M34,SkillsTable,3,0))</f>
        <v>*</v>
      </c>
      <c r="AK34" s="358"/>
      <c r="AL34" s="437" t="n">
        <f aca="false">IF($M34=""," ",VLOOKUP($M34,SkillsTable,4,0))</f>
        <v>0</v>
      </c>
      <c r="AM34" s="437"/>
      <c r="AN34" s="433"/>
    </row>
    <row r="35" customFormat="false" ht="11.1" hidden="false" customHeight="true" outlineLevel="0" collapsed="false">
      <c r="A35" s="360" t="str">
        <f aca="true">IF(Build!AQ628,OFFSET(Build!AM$616,Build!AQ628,0),"")</f>
        <v/>
      </c>
      <c r="B35" s="360"/>
      <c r="C35" s="360"/>
      <c r="D35" s="360"/>
      <c r="E35" s="360"/>
      <c r="F35" s="360"/>
      <c r="G35" s="360"/>
      <c r="H35" s="360"/>
      <c r="I35" s="360"/>
      <c r="J35" s="360"/>
      <c r="K35" s="366" t="str">
        <f aca="true">IF(Build!AQ628,OFFSET(Build!AN$616,Build!AQ628,0),"")</f>
        <v/>
      </c>
      <c r="L35" s="366"/>
      <c r="M35" s="435" t="str">
        <f aca="true">IF(Build!AW624,OFFSET(Build!AR$616,Build!AW624,0)," ")</f>
        <v>Conversation</v>
      </c>
      <c r="N35" s="435"/>
      <c r="O35" s="435"/>
      <c r="P35" s="435"/>
      <c r="Q35" s="435"/>
      <c r="R35" s="435"/>
      <c r="S35" s="435"/>
      <c r="T35" s="435"/>
      <c r="U35" s="435"/>
      <c r="V35" s="435"/>
      <c r="W35" s="435"/>
      <c r="X35" s="435"/>
      <c r="Y35" s="358" t="n">
        <f aca="true">IF(Build!AW624,OFFSET(Build!AS$616,Build!AW624,0)," ")</f>
        <v>2</v>
      </c>
      <c r="Z35" s="358"/>
      <c r="AA35" s="436" t="str">
        <f aca="true">IF(M35=" "," ",IF(OFFSET(Build!AU$616,Build!AW624,0)=0,"n/a","R+"&amp;OFFSET(Build!AU$616,Build!AW624,0)))</f>
        <v>R+C</v>
      </c>
      <c r="AB35" s="436"/>
      <c r="AC35" s="436"/>
      <c r="AD35" s="436" t="n">
        <f aca="true">IF(M35=" "," ",IF(OFFSET(Build!AU$616,Build!AW624,0)=0,"-",OFFSET(Build!AS$616,Build!AW624,0)+VLOOKUP(OFFSET(Build!AU$616,Build!AW624,0),Build!G$597:L$603,6,0)))</f>
        <v>8</v>
      </c>
      <c r="AE35" s="436"/>
      <c r="AF35" s="436" t="str">
        <f aca="true">IF(M35=" "," ",IF(AD35&lt;&gt;"-",OFFSET(ActionDice,AD35,0),"-"))</f>
        <v>2d6</v>
      </c>
      <c r="AG35" s="436"/>
      <c r="AH35" s="436"/>
      <c r="AI35" s="436"/>
      <c r="AJ35" s="358" t="str">
        <f aca="false">IF(M35="","",VLOOKUP(M35,SkillsTable,3,0))</f>
        <v>*</v>
      </c>
      <c r="AK35" s="358"/>
      <c r="AL35" s="437" t="n">
        <f aca="false">IF($M35=""," ",VLOOKUP($M35,SkillsTable,4,0))</f>
        <v>0</v>
      </c>
      <c r="AM35" s="437"/>
      <c r="AN35" s="433"/>
    </row>
    <row r="36" customFormat="false" ht="11.1" hidden="false" customHeight="true" outlineLevel="0" collapsed="false">
      <c r="A36" s="360" t="str">
        <f aca="true">IF(Build!AQ629,OFFSET(Build!AM$616,Build!AQ629,0),"")</f>
        <v/>
      </c>
      <c r="B36" s="360"/>
      <c r="C36" s="360"/>
      <c r="D36" s="360"/>
      <c r="E36" s="360"/>
      <c r="F36" s="360"/>
      <c r="G36" s="360"/>
      <c r="H36" s="360"/>
      <c r="I36" s="360"/>
      <c r="J36" s="360"/>
      <c r="K36" s="366" t="str">
        <f aca="true">IF(Build!AQ629,OFFSET(Build!AN$616,Build!AQ629,0),"")</f>
        <v/>
      </c>
      <c r="L36" s="366"/>
      <c r="M36" s="435" t="str">
        <f aca="true">IF(Build!AW625,OFFSET(Build!AR$616,Build!AW625,0)," ")</f>
        <v>Read/Write Language</v>
      </c>
      <c r="N36" s="435"/>
      <c r="O36" s="435"/>
      <c r="P36" s="435"/>
      <c r="Q36" s="435"/>
      <c r="R36" s="435"/>
      <c r="S36" s="435"/>
      <c r="T36" s="435"/>
      <c r="U36" s="435"/>
      <c r="V36" s="435"/>
      <c r="W36" s="435"/>
      <c r="X36" s="435"/>
      <c r="Y36" s="358" t="n">
        <f aca="true">IF(Build!AW625,OFFSET(Build!AS$616,Build!AW625,0)," ")</f>
        <v>2</v>
      </c>
      <c r="Z36" s="358"/>
      <c r="AA36" s="436" t="str">
        <f aca="true">IF(M36=" "," ",IF(OFFSET(Build!AU$616,Build!AW625,0)=0,"n/a","R+"&amp;OFFSET(Build!AU$616,Build!AW625,0)))</f>
        <v>R+P</v>
      </c>
      <c r="AB36" s="436"/>
      <c r="AC36" s="436"/>
      <c r="AD36" s="436" t="n">
        <f aca="true">IF(M36=" "," ",IF(OFFSET(Build!AU$616,Build!AW625,0)=0,"-",OFFSET(Build!AS$616,Build!AW625,0)+VLOOKUP(OFFSET(Build!AU$616,Build!AW625,0),Build!G$597:L$603,6,0)))</f>
        <v>9</v>
      </c>
      <c r="AE36" s="436"/>
      <c r="AF36" s="436" t="str">
        <f aca="true">IF(M36=" "," ",IF(AD36&lt;&gt;"-",OFFSET(ActionDice,AD36,0),"-"))</f>
        <v>d8+d6</v>
      </c>
      <c r="AG36" s="436"/>
      <c r="AH36" s="436"/>
      <c r="AI36" s="436"/>
      <c r="AJ36" s="358" t="e">
        <f aca="false">IF(M36="","",VLOOKUP(M36,SkillsTable,3,0))</f>
        <v>#N/A</v>
      </c>
      <c r="AK36" s="358"/>
      <c r="AL36" s="437" t="e">
        <f aca="false">IF($M36=""," ",VLOOKUP($M36,SkillsTable,4,0))</f>
        <v>#N/A</v>
      </c>
      <c r="AM36" s="437"/>
      <c r="AN36" s="433"/>
    </row>
    <row r="37" customFormat="false" ht="11.1" hidden="false" customHeight="true" outlineLevel="0" collapsed="false">
      <c r="A37" s="360" t="str">
        <f aca="true">IF(Build!AQ630,OFFSET(Build!AM$616,Build!AQ630,0),"")</f>
        <v/>
      </c>
      <c r="B37" s="360"/>
      <c r="C37" s="360"/>
      <c r="D37" s="360"/>
      <c r="E37" s="360"/>
      <c r="F37" s="360"/>
      <c r="G37" s="360"/>
      <c r="H37" s="360"/>
      <c r="I37" s="360"/>
      <c r="J37" s="360"/>
      <c r="K37" s="366" t="str">
        <f aca="true">IF(Build!AQ630,OFFSET(Build!AN$616,Build!AQ630,0),"")</f>
        <v/>
      </c>
      <c r="L37" s="366"/>
      <c r="M37" s="435" t="str">
        <f aca="true">IF(Build!AW626,OFFSET(Build!AR$616,Build!AW626,0)," ")</f>
        <v>Speak Language</v>
      </c>
      <c r="N37" s="435"/>
      <c r="O37" s="435"/>
      <c r="P37" s="435"/>
      <c r="Q37" s="435"/>
      <c r="R37" s="435"/>
      <c r="S37" s="435"/>
      <c r="T37" s="435"/>
      <c r="U37" s="435"/>
      <c r="V37" s="435"/>
      <c r="W37" s="435"/>
      <c r="X37" s="435"/>
      <c r="Y37" s="358" t="n">
        <f aca="true">IF(Build!AW626,OFFSET(Build!AS$616,Build!AW626,0)," ")</f>
        <v>2</v>
      </c>
      <c r="Z37" s="358"/>
      <c r="AA37" s="436" t="str">
        <f aca="true">IF(M37=" "," ",IF(OFFSET(Build!AU$616,Build!AW626,0)=0,"n/a","R+"&amp;OFFSET(Build!AU$616,Build!AW626,0)))</f>
        <v>R+P</v>
      </c>
      <c r="AB37" s="436"/>
      <c r="AC37" s="436"/>
      <c r="AD37" s="436" t="n">
        <f aca="true">IF(M37=" "," ",IF(OFFSET(Build!AU$616,Build!AW626,0)=0,"-",OFFSET(Build!AS$616,Build!AW626,0)+VLOOKUP(OFFSET(Build!AU$616,Build!AW626,0),Build!G$597:L$603,6,0)))</f>
        <v>9</v>
      </c>
      <c r="AE37" s="436"/>
      <c r="AF37" s="436" t="str">
        <f aca="true">IF(M37=" "," ",IF(AD37&lt;&gt;"-",OFFSET(ActionDice,AD37,0),"-"))</f>
        <v>d8+d6</v>
      </c>
      <c r="AG37" s="436"/>
      <c r="AH37" s="436"/>
      <c r="AI37" s="436"/>
      <c r="AJ37" s="358" t="e">
        <f aca="false">IF(M37="","",VLOOKUP(M37,SkillsTable,3,0))</f>
        <v>#N/A</v>
      </c>
      <c r="AK37" s="358"/>
      <c r="AL37" s="437" t="e">
        <f aca="false">IF($M37=""," ",VLOOKUP($M37,SkillsTable,4,0))</f>
        <v>#N/A</v>
      </c>
      <c r="AM37" s="437"/>
      <c r="AN37" s="433"/>
    </row>
    <row r="38" customFormat="false" ht="11.1" hidden="false" customHeight="true" outlineLevel="0" collapsed="false">
      <c r="A38" s="360" t="str">
        <f aca="true">IF(Build!AQ631,OFFSET(Build!AM$616,Build!AQ631,0),"")</f>
        <v/>
      </c>
      <c r="B38" s="360"/>
      <c r="C38" s="360"/>
      <c r="D38" s="360"/>
      <c r="E38" s="360"/>
      <c r="F38" s="360"/>
      <c r="G38" s="360"/>
      <c r="H38" s="360"/>
      <c r="I38" s="360"/>
      <c r="J38" s="360"/>
      <c r="K38" s="366" t="str">
        <f aca="true">IF(Build!AQ631,OFFSET(Build!AN$616,Build!AQ631,0),"")</f>
        <v/>
      </c>
      <c r="L38" s="366"/>
      <c r="M38" s="435" t="str">
        <f aca="true">IF(Build!AW627,OFFSET(Build!AR$616,Build!AW627,0)," ")</f>
        <v>First Impression</v>
      </c>
      <c r="N38" s="435"/>
      <c r="O38" s="435"/>
      <c r="P38" s="435"/>
      <c r="Q38" s="435"/>
      <c r="R38" s="435"/>
      <c r="S38" s="435"/>
      <c r="T38" s="435"/>
      <c r="U38" s="435"/>
      <c r="V38" s="435"/>
      <c r="W38" s="435"/>
      <c r="X38" s="435"/>
      <c r="Y38" s="358" t="n">
        <f aca="true">IF(Build!AW627,OFFSET(Build!AS$616,Build!AW627,0)," ")</f>
        <v>2</v>
      </c>
      <c r="Z38" s="358"/>
      <c r="AA38" s="436" t="str">
        <f aca="true">IF(M38=" "," ",IF(OFFSET(Build!AU$616,Build!AW627,0)=0,"n/a","R+"&amp;OFFSET(Build!AU$616,Build!AW627,0)))</f>
        <v>R+C</v>
      </c>
      <c r="AB38" s="436"/>
      <c r="AC38" s="436"/>
      <c r="AD38" s="436" t="n">
        <f aca="true">IF(M38=" "," ",IF(OFFSET(Build!AU$616,Build!AW627,0)=0,"-",OFFSET(Build!AS$616,Build!AW627,0)+VLOOKUP(OFFSET(Build!AU$616,Build!AW627,0),Build!G$597:L$603,6,0)))</f>
        <v>8</v>
      </c>
      <c r="AE38" s="436"/>
      <c r="AF38" s="436" t="str">
        <f aca="true">IF(M38=" "," ",IF(AD38&lt;&gt;"-",OFFSET(ActionDice,AD38,0),"-"))</f>
        <v>2d6</v>
      </c>
      <c r="AG38" s="436"/>
      <c r="AH38" s="436"/>
      <c r="AI38" s="436"/>
      <c r="AJ38" s="358" t="str">
        <f aca="false">IF(M38="","",VLOOKUP(M38,SkillsTable,3,0))</f>
        <v>A</v>
      </c>
      <c r="AK38" s="358"/>
      <c r="AL38" s="437" t="n">
        <f aca="false">IF($M38=""," ",VLOOKUP($M38,SkillsTable,4,0))</f>
        <v>0</v>
      </c>
      <c r="AM38" s="437"/>
      <c r="AN38" s="433"/>
    </row>
    <row r="39" customFormat="false" ht="11.1" hidden="false" customHeight="true" outlineLevel="0" collapsed="false">
      <c r="A39" s="360" t="str">
        <f aca="true">IF(Build!AQ632,OFFSET(Build!AM$616,Build!AQ632,0),"")</f>
        <v/>
      </c>
      <c r="B39" s="360"/>
      <c r="C39" s="360"/>
      <c r="D39" s="360"/>
      <c r="E39" s="360"/>
      <c r="F39" s="360"/>
      <c r="G39" s="360"/>
      <c r="H39" s="360"/>
      <c r="I39" s="360"/>
      <c r="J39" s="360"/>
      <c r="K39" s="366" t="str">
        <f aca="true">IF(Build!AQ632,OFFSET(Build!AN$616,Build!AQ632,0),"")</f>
        <v/>
      </c>
      <c r="L39" s="366"/>
      <c r="M39" s="435" t="str">
        <f aca="true">IF(Build!AW628,OFFSET(Build!AR$616,Build!AW628,0)," ")</f>
        <v>Forgery</v>
      </c>
      <c r="N39" s="435"/>
      <c r="O39" s="435"/>
      <c r="P39" s="435"/>
      <c r="Q39" s="435"/>
      <c r="R39" s="435"/>
      <c r="S39" s="435"/>
      <c r="T39" s="435"/>
      <c r="U39" s="435"/>
      <c r="V39" s="435"/>
      <c r="W39" s="435"/>
      <c r="X39" s="435"/>
      <c r="Y39" s="358" t="n">
        <f aca="true">IF(Build!AW628,OFFSET(Build!AS$616,Build!AW628,0)," ")</f>
        <v>1</v>
      </c>
      <c r="Z39" s="358"/>
      <c r="AA39" s="436" t="str">
        <f aca="true">IF(M39=" "," ",IF(OFFSET(Build!AU$616,Build!AW628,0)=0,"n/a","R+"&amp;OFFSET(Build!AU$616,Build!AW628,0)))</f>
        <v>R+D</v>
      </c>
      <c r="AB39" s="436"/>
      <c r="AC39" s="436"/>
      <c r="AD39" s="436" t="n">
        <f aca="true">IF(M39=" "," ",IF(OFFSET(Build!AU$616,Build!AW628,0)=0,"-",OFFSET(Build!AS$616,Build!AW628,0)+VLOOKUP(OFFSET(Build!AU$616,Build!AW628,0),Build!G$597:L$603,6,0)))</f>
        <v>8</v>
      </c>
      <c r="AE39" s="436"/>
      <c r="AF39" s="436" t="str">
        <f aca="true">IF(M39=" "," ",IF(AD39&lt;&gt;"-",OFFSET(ActionDice,AD39,0),"-"))</f>
        <v>2d6</v>
      </c>
      <c r="AG39" s="436"/>
      <c r="AH39" s="436"/>
      <c r="AI39" s="436"/>
      <c r="AJ39" s="358" t="str">
        <f aca="false">IF(M39="","",VLOOKUP(M39,SkillsTable,3,0))</f>
        <v>*</v>
      </c>
      <c r="AK39" s="358"/>
      <c r="AL39" s="437" t="n">
        <f aca="false">IF($M39=""," ",VLOOKUP($M39,SkillsTable,4,0))</f>
        <v>0</v>
      </c>
      <c r="AM39" s="437"/>
      <c r="AN39" s="433"/>
    </row>
    <row r="40" customFormat="false" ht="11.1" hidden="false" customHeight="true" outlineLevel="0" collapsed="false">
      <c r="A40" s="360" t="str">
        <f aca="true">IF(Build!AQ633,OFFSET(Build!AM$616,Build!AQ633,0),"")</f>
        <v/>
      </c>
      <c r="B40" s="360"/>
      <c r="C40" s="360"/>
      <c r="D40" s="360"/>
      <c r="E40" s="360"/>
      <c r="F40" s="360"/>
      <c r="G40" s="360"/>
      <c r="H40" s="360"/>
      <c r="I40" s="360"/>
      <c r="J40" s="360"/>
      <c r="K40" s="366" t="str">
        <f aca="true">IF(Build!AQ633,OFFSET(Build!AN$616,Build!AQ633,0),"")</f>
        <v/>
      </c>
      <c r="L40" s="366"/>
      <c r="M40" s="435" t="str">
        <f aca="true">IF(Build!AW629,OFFSET(Build!AR$616,Build!AW629,0)," ")</f>
        <v>Haggle</v>
      </c>
      <c r="N40" s="435"/>
      <c r="O40" s="435"/>
      <c r="P40" s="435"/>
      <c r="Q40" s="435"/>
      <c r="R40" s="435"/>
      <c r="S40" s="435"/>
      <c r="T40" s="435"/>
      <c r="U40" s="435"/>
      <c r="V40" s="435"/>
      <c r="W40" s="435"/>
      <c r="X40" s="435"/>
      <c r="Y40" s="358" t="n">
        <f aca="true">IF(Build!AW629,OFFSET(Build!AS$616,Build!AW629,0)," ")</f>
        <v>2</v>
      </c>
      <c r="Z40" s="358"/>
      <c r="AA40" s="436" t="str">
        <f aca="true">IF(M40=" "," ",IF(OFFSET(Build!AU$616,Build!AW629,0)=0,"n/a","R+"&amp;OFFSET(Build!AU$616,Build!AW629,0)))</f>
        <v>R+C</v>
      </c>
      <c r="AB40" s="436"/>
      <c r="AC40" s="436"/>
      <c r="AD40" s="436" t="n">
        <f aca="true">IF(M40=" "," ",IF(OFFSET(Build!AU$616,Build!AW629,0)=0,"-",OFFSET(Build!AS$616,Build!AW629,0)+VLOOKUP(OFFSET(Build!AU$616,Build!AW629,0),Build!G$597:L$603,6,0)))</f>
        <v>8</v>
      </c>
      <c r="AE40" s="436"/>
      <c r="AF40" s="436" t="str">
        <f aca="true">IF(M40=" "," ",IF(AD40&lt;&gt;"-",OFFSET(ActionDice,AD40,0),"-"))</f>
        <v>2d6</v>
      </c>
      <c r="AG40" s="436"/>
      <c r="AH40" s="436"/>
      <c r="AI40" s="436"/>
      <c r="AJ40" s="358" t="str">
        <f aca="false">IF(M40="","",VLOOKUP(M40,SkillsTable,3,0))</f>
        <v>*</v>
      </c>
      <c r="AK40" s="358"/>
      <c r="AL40" s="437" t="n">
        <f aca="false">IF($M40=""," ",VLOOKUP($M40,SkillsTable,4,0))</f>
        <v>0</v>
      </c>
      <c r="AM40" s="437"/>
      <c r="AN40" s="433"/>
    </row>
    <row r="41" customFormat="false" ht="11.1" hidden="false" customHeight="true" outlineLevel="0" collapsed="false">
      <c r="A41" s="360" t="str">
        <f aca="true">IF(Build!AQ631,OFFSET(Build!AM$616,Build!AQ631,0),"")</f>
        <v/>
      </c>
      <c r="B41" s="360"/>
      <c r="C41" s="360"/>
      <c r="D41" s="360"/>
      <c r="E41" s="360"/>
      <c r="F41" s="360"/>
      <c r="G41" s="360"/>
      <c r="H41" s="360"/>
      <c r="I41" s="360"/>
      <c r="J41" s="360"/>
      <c r="K41" s="366" t="str">
        <f aca="true">IF(Build!AQ631,OFFSET(Build!AN$616,Build!AQ631,0),"")</f>
        <v/>
      </c>
      <c r="L41" s="366"/>
      <c r="M41" s="435" t="str">
        <f aca="true">IF(Build!AW630,OFFSET(Build!AR$616,Build!AW630,0)," ")</f>
        <v>Hypnotize</v>
      </c>
      <c r="N41" s="435"/>
      <c r="O41" s="435"/>
      <c r="P41" s="435"/>
      <c r="Q41" s="435"/>
      <c r="R41" s="435"/>
      <c r="S41" s="435"/>
      <c r="T41" s="435"/>
      <c r="U41" s="435"/>
      <c r="V41" s="435"/>
      <c r="W41" s="435"/>
      <c r="X41" s="435"/>
      <c r="Y41" s="358" t="n">
        <f aca="true">IF(Build!AW630,OFFSET(Build!AS$616,Build!AW630,0)," ")</f>
        <v>1</v>
      </c>
      <c r="Z41" s="358"/>
      <c r="AA41" s="436" t="str">
        <f aca="true">IF(M41=" "," ",IF(OFFSET(Build!AU$616,Build!AW630,0)=0,"n/a","R+"&amp;OFFSET(Build!AU$616,Build!AW630,0)))</f>
        <v>R+C</v>
      </c>
      <c r="AB41" s="436"/>
      <c r="AC41" s="436"/>
      <c r="AD41" s="436" t="n">
        <f aca="true">IF(M41=" "," ",IF(OFFSET(Build!AU$616,Build!AW630,0)=0,"-",OFFSET(Build!AS$616,Build!AW630,0)+VLOOKUP(OFFSET(Build!AU$616,Build!AW630,0),Build!G$597:L$603,6,0)))</f>
        <v>7</v>
      </c>
      <c r="AE41" s="436"/>
      <c r="AF41" s="436" t="str">
        <f aca="true">IF(M41=" "," ",IF(AD41&lt;&gt;"-",OFFSET(ActionDice,AD41,0),"-"))</f>
        <v>d12</v>
      </c>
      <c r="AG41" s="436"/>
      <c r="AH41" s="436"/>
      <c r="AI41" s="436"/>
      <c r="AJ41" s="358" t="str">
        <f aca="false">IF(M41="","",VLOOKUP(M41,SkillsTable,3,0))</f>
        <v>*</v>
      </c>
      <c r="AK41" s="358"/>
      <c r="AL41" s="385" t="n">
        <f aca="false">IF($M41=""," ",VLOOKUP($M41,SkillsTable,4,0))</f>
        <v>1</v>
      </c>
      <c r="AM41" s="385"/>
    </row>
    <row r="42" customFormat="false" ht="11.1" hidden="false" customHeight="true" outlineLevel="0" collapsed="false">
      <c r="A42" s="360" t="str">
        <f aca="true">IF(Build!AQ632,OFFSET(Build!AM$616,Build!AQ632,0),"")</f>
        <v/>
      </c>
      <c r="B42" s="360"/>
      <c r="C42" s="360"/>
      <c r="D42" s="360"/>
      <c r="E42" s="360"/>
      <c r="F42" s="360"/>
      <c r="G42" s="360"/>
      <c r="H42" s="360"/>
      <c r="I42" s="360"/>
      <c r="J42" s="360"/>
      <c r="K42" s="366" t="str">
        <f aca="true">IF(Build!AQ632,OFFSET(Build!AN$616,Build!AQ632,0),"")</f>
        <v/>
      </c>
      <c r="L42" s="366"/>
      <c r="M42" s="435" t="str">
        <f aca="true">IF(Build!AW631,OFFSET(Build!AR$616,Build!AW631,0)," ")</f>
        <v>Mimic Voice</v>
      </c>
      <c r="N42" s="435"/>
      <c r="O42" s="435"/>
      <c r="P42" s="435"/>
      <c r="Q42" s="435"/>
      <c r="R42" s="435"/>
      <c r="S42" s="435"/>
      <c r="T42" s="435"/>
      <c r="U42" s="435"/>
      <c r="V42" s="435"/>
      <c r="W42" s="435"/>
      <c r="X42" s="435"/>
      <c r="Y42" s="358" t="n">
        <f aca="true">IF(Build!AW631,OFFSET(Build!AS$616,Build!AW631,0)," ")</f>
        <v>1</v>
      </c>
      <c r="Z42" s="358"/>
      <c r="AA42" s="436" t="str">
        <f aca="true">IF(M42=" "," ",IF(OFFSET(Build!AU$616,Build!AW631,0)=0,"n/a","R+"&amp;OFFSET(Build!AU$616,Build!AW631,0)))</f>
        <v>R+P</v>
      </c>
      <c r="AB42" s="436"/>
      <c r="AC42" s="436"/>
      <c r="AD42" s="436" t="n">
        <f aca="true">IF(M42=" "," ",IF(OFFSET(Build!AU$616,Build!AW631,0)=0,"-",OFFSET(Build!AS$616,Build!AW631,0)+VLOOKUP(OFFSET(Build!AU$616,Build!AW631,0),Build!G$597:L$603,6,0)))</f>
        <v>8</v>
      </c>
      <c r="AE42" s="436"/>
      <c r="AF42" s="436" t="str">
        <f aca="true">IF(M42=" "," ",IF(AD42&lt;&gt;"-",OFFSET(ActionDice,AD42,0),"-"))</f>
        <v>2d6</v>
      </c>
      <c r="AG42" s="436"/>
      <c r="AH42" s="436"/>
      <c r="AI42" s="436"/>
      <c r="AJ42" s="358" t="str">
        <f aca="false">IF(M42="","",VLOOKUP(M42,SkillsTable,3,0))</f>
        <v>S</v>
      </c>
      <c r="AK42" s="358"/>
      <c r="AL42" s="385" t="n">
        <f aca="false">IF($M42=""," ",VLOOKUP($M42,SkillsTable,4,0))</f>
        <v>0</v>
      </c>
      <c r="AM42" s="385"/>
    </row>
    <row r="43" customFormat="false" ht="11.1" hidden="false" customHeight="true" outlineLevel="0" collapsed="false">
      <c r="A43" s="360" t="str">
        <f aca="true">IF(Build!AQ633,OFFSET(Build!AM$616,Build!AQ633,0),"")</f>
        <v/>
      </c>
      <c r="B43" s="360"/>
      <c r="C43" s="360"/>
      <c r="D43" s="360"/>
      <c r="E43" s="360"/>
      <c r="F43" s="360"/>
      <c r="G43" s="360"/>
      <c r="H43" s="360"/>
      <c r="I43" s="360"/>
      <c r="J43" s="360"/>
      <c r="K43" s="366" t="str">
        <f aca="true">IF(Build!AQ633,OFFSET(Build!AN$616,Build!AQ633,0),"")</f>
        <v/>
      </c>
      <c r="L43" s="366"/>
      <c r="M43" s="435" t="str">
        <f aca="true">IF(Build!AW632,OFFSET(Build!AR$616,Build!AW632,0)," ")</f>
        <v>Rhetoric</v>
      </c>
      <c r="N43" s="435"/>
      <c r="O43" s="435"/>
      <c r="P43" s="435"/>
      <c r="Q43" s="435"/>
      <c r="R43" s="435"/>
      <c r="S43" s="435"/>
      <c r="T43" s="435"/>
      <c r="U43" s="435"/>
      <c r="V43" s="435"/>
      <c r="W43" s="435"/>
      <c r="X43" s="435"/>
      <c r="Y43" s="358" t="n">
        <f aca="true">IF(Build!AW632,OFFSET(Build!AS$616,Build!AW632,0)," ")</f>
        <v>1</v>
      </c>
      <c r="Z43" s="358"/>
      <c r="AA43" s="436" t="str">
        <f aca="true">IF(M43=" "," ",IF(OFFSET(Build!AU$616,Build!AW632,0)=0,"n/a","R+"&amp;OFFSET(Build!AU$616,Build!AW632,0)))</f>
        <v>R+P</v>
      </c>
      <c r="AB43" s="436"/>
      <c r="AC43" s="436"/>
      <c r="AD43" s="436" t="n">
        <f aca="true">IF(M43=" "," ",IF(OFFSET(Build!AU$616,Build!AW632,0)=0,"-",OFFSET(Build!AS$616,Build!AW632,0)+VLOOKUP(OFFSET(Build!AU$616,Build!AW632,0),Build!G$597:L$603,6,0)))</f>
        <v>8</v>
      </c>
      <c r="AE43" s="436"/>
      <c r="AF43" s="436" t="str">
        <f aca="true">IF(M43=" "," ",IF(AD43&lt;&gt;"-",OFFSET(ActionDice,AD43,0),"-"))</f>
        <v>2d6</v>
      </c>
      <c r="AG43" s="436"/>
      <c r="AH43" s="436"/>
      <c r="AI43" s="436"/>
      <c r="AJ43" s="358" t="str">
        <f aca="false">IF(M43="","",VLOOKUP(M43,SkillsTable,3,0))</f>
        <v>*</v>
      </c>
      <c r="AK43" s="358"/>
      <c r="AL43" s="385" t="n">
        <f aca="false">IF($M43=""," ",VLOOKUP($M43,SkillsTable,4,0))</f>
        <v>0</v>
      </c>
      <c r="AM43" s="385"/>
    </row>
    <row r="44" customFormat="false" ht="11.1" hidden="false" customHeight="true" outlineLevel="0" collapsed="false">
      <c r="A44" s="360" t="str">
        <f aca="true">IF(Build!AQ634,OFFSET(Build!AM$616,Build!AQ634,0),"")</f>
        <v/>
      </c>
      <c r="B44" s="360"/>
      <c r="C44" s="360"/>
      <c r="D44" s="360"/>
      <c r="E44" s="360"/>
      <c r="F44" s="360"/>
      <c r="G44" s="360"/>
      <c r="H44" s="360"/>
      <c r="I44" s="360"/>
      <c r="J44" s="360"/>
      <c r="K44" s="366" t="str">
        <f aca="true">IF(Build!AQ634,OFFSET(Build!AN$616,Build!AQ634,0),"")</f>
        <v/>
      </c>
      <c r="L44" s="366"/>
      <c r="M44" s="435" t="str">
        <f aca="true">IF(Build!AW633,OFFSET(Build!AR$616,Build!AW633,0)," ")</f>
        <v>Streetwise</v>
      </c>
      <c r="N44" s="435"/>
      <c r="O44" s="435"/>
      <c r="P44" s="435"/>
      <c r="Q44" s="435"/>
      <c r="R44" s="435"/>
      <c r="S44" s="435"/>
      <c r="T44" s="435"/>
      <c r="U44" s="435"/>
      <c r="V44" s="435"/>
      <c r="W44" s="435"/>
      <c r="X44" s="435"/>
      <c r="Y44" s="358" t="n">
        <f aca="true">IF(Build!AW633,OFFSET(Build!AS$616,Build!AW633,0)," ")</f>
        <v>2</v>
      </c>
      <c r="Z44" s="358"/>
      <c r="AA44" s="436" t="str">
        <f aca="true">IF(M44=" "," ",IF(OFFSET(Build!AU$616,Build!AW633,0)=0,"n/a","R+"&amp;OFFSET(Build!AU$616,Build!AW633,0)))</f>
        <v>R+C</v>
      </c>
      <c r="AB44" s="436"/>
      <c r="AC44" s="436"/>
      <c r="AD44" s="436" t="n">
        <f aca="true">IF(M44=" "," ",IF(OFFSET(Build!AU$616,Build!AW633,0)=0,"-",OFFSET(Build!AS$616,Build!AW633,0)+VLOOKUP(OFFSET(Build!AU$616,Build!AW633,0),Build!G$597:L$603,6,0)))</f>
        <v>8</v>
      </c>
      <c r="AE44" s="436"/>
      <c r="AF44" s="436" t="str">
        <f aca="true">IF(M44=" "," ",IF(AD44&lt;&gt;"-",OFFSET(ActionDice,AD44,0),"-"))</f>
        <v>2d6</v>
      </c>
      <c r="AG44" s="436"/>
      <c r="AH44" s="436"/>
      <c r="AI44" s="436"/>
      <c r="AJ44" s="358" t="str">
        <f aca="false">IF(M44="","",VLOOKUP(M44,SkillsTable,3,0))</f>
        <v>*</v>
      </c>
      <c r="AK44" s="358"/>
      <c r="AL44" s="385" t="n">
        <f aca="false">IF($M44=""," ",VLOOKUP($M44,SkillsTable,4,0))</f>
        <v>0</v>
      </c>
      <c r="AM44" s="385"/>
    </row>
    <row r="45" customFormat="false" ht="11.1" hidden="false" customHeight="true" outlineLevel="0" collapsed="false">
      <c r="A45" s="360" t="str">
        <f aca="true">IF(Build!AQ635,OFFSET(Build!AM$616,Build!AQ635,0),"")</f>
        <v/>
      </c>
      <c r="B45" s="360"/>
      <c r="C45" s="360"/>
      <c r="D45" s="360"/>
      <c r="E45" s="360"/>
      <c r="F45" s="360"/>
      <c r="G45" s="360"/>
      <c r="H45" s="360"/>
      <c r="I45" s="360"/>
      <c r="J45" s="360"/>
      <c r="K45" s="366" t="str">
        <f aca="true">IF(Build!AQ635,OFFSET(Build!AN$616,Build!AQ635,0),"")</f>
        <v/>
      </c>
      <c r="L45" s="366"/>
      <c r="M45" s="435" t="str">
        <f aca="true">IF(Build!AW634,OFFSET(Build!AR$616,Build!AW634,0)," ")</f>
        <v>Swimming</v>
      </c>
      <c r="N45" s="435"/>
      <c r="O45" s="435"/>
      <c r="P45" s="435"/>
      <c r="Q45" s="435"/>
      <c r="R45" s="435"/>
      <c r="S45" s="435"/>
      <c r="T45" s="435"/>
      <c r="U45" s="435"/>
      <c r="V45" s="435"/>
      <c r="W45" s="435"/>
      <c r="X45" s="435"/>
      <c r="Y45" s="358" t="n">
        <f aca="true">IF(Build!AW634,OFFSET(Build!AS$616,Build!AW634,0)," ")</f>
        <v>1</v>
      </c>
      <c r="Z45" s="358"/>
      <c r="AA45" s="436" t="str">
        <f aca="true">IF(M45=" "," ",IF(OFFSET(Build!AU$616,Build!AW634,0)=0,"n/a","R+"&amp;OFFSET(Build!AU$616,Build!AW634,0)))</f>
        <v>R+S</v>
      </c>
      <c r="AB45" s="436"/>
      <c r="AC45" s="436"/>
      <c r="AD45" s="436" t="n">
        <f aca="true">IF(M45=" "," ",IF(OFFSET(Build!AU$616,Build!AW634,0)=0,"-",OFFSET(Build!AS$616,Build!AW634,0)+VLOOKUP(OFFSET(Build!AU$616,Build!AW634,0),Build!G$597:L$603,6,0)))</f>
        <v>7</v>
      </c>
      <c r="AE45" s="436"/>
      <c r="AF45" s="436" t="str">
        <f aca="true">IF(M45=" "," ",IF(AD45&lt;&gt;"-",OFFSET(ActionDice,AD45,0),"-"))</f>
        <v>d12</v>
      </c>
      <c r="AG45" s="436"/>
      <c r="AH45" s="436"/>
      <c r="AI45" s="436"/>
      <c r="AJ45" s="358" t="str">
        <f aca="false">IF(M45="","",VLOOKUP(M45,SkillsTable,3,0))</f>
        <v>A</v>
      </c>
      <c r="AK45" s="358"/>
      <c r="AL45" s="385" t="n">
        <f aca="false">IF($M45=""," ",VLOOKUP($M45,SkillsTable,4,0))</f>
        <v>0</v>
      </c>
      <c r="AM45" s="385"/>
    </row>
    <row r="46" customFormat="false" ht="11.1" hidden="false" customHeight="true" outlineLevel="0" collapsed="false">
      <c r="A46" s="360" t="str">
        <f aca="true">IF(Build!AQ636,OFFSET(Build!AM$616,Build!AQ636,0),"")</f>
        <v/>
      </c>
      <c r="B46" s="360"/>
      <c r="C46" s="360"/>
      <c r="D46" s="360"/>
      <c r="E46" s="360"/>
      <c r="F46" s="360"/>
      <c r="G46" s="360"/>
      <c r="H46" s="360"/>
      <c r="I46" s="360"/>
      <c r="J46" s="360"/>
      <c r="K46" s="366" t="str">
        <f aca="true">IF(Build!AQ636,OFFSET(Build!AN$616,Build!AQ636,0),"")</f>
        <v/>
      </c>
      <c r="L46" s="366"/>
      <c r="M46" s="435" t="str">
        <f aca="true">IF(Build!AW635,OFFSET(Build!AR$616,Build!AW635,0)," ")</f>
        <v>Wilderness Survival(Forests)</v>
      </c>
      <c r="N46" s="435"/>
      <c r="O46" s="435"/>
      <c r="P46" s="435"/>
      <c r="Q46" s="435"/>
      <c r="R46" s="435"/>
      <c r="S46" s="435"/>
      <c r="T46" s="435"/>
      <c r="U46" s="435"/>
      <c r="V46" s="435"/>
      <c r="W46" s="435"/>
      <c r="X46" s="435"/>
      <c r="Y46" s="358" t="n">
        <f aca="true">IF(Build!AW635,OFFSET(Build!AS$616,Build!AW635,0)," ")</f>
        <v>1</v>
      </c>
      <c r="Z46" s="358"/>
      <c r="AA46" s="436" t="str">
        <f aca="true">IF(M46=" "," ",IF(OFFSET(Build!AU$616,Build!AW635,0)=0,"n/a","R+"&amp;OFFSET(Build!AU$616,Build!AW635,0)))</f>
        <v>R+P</v>
      </c>
      <c r="AB46" s="436"/>
      <c r="AC46" s="436"/>
      <c r="AD46" s="436" t="n">
        <f aca="true">IF(M46=" "," ",IF(OFFSET(Build!AU$616,Build!AW635,0)=0,"-",OFFSET(Build!AS$616,Build!AW635,0)+VLOOKUP(OFFSET(Build!AU$616,Build!AW635,0),Build!G$597:L$603,6,0)))</f>
        <v>8</v>
      </c>
      <c r="AE46" s="436"/>
      <c r="AF46" s="436" t="str">
        <f aca="true">IF(M46=" "," ",IF(AD46&lt;&gt;"-",OFFSET(ActionDice,AD46,0),"-"))</f>
        <v>2d6</v>
      </c>
      <c r="AG46" s="436"/>
      <c r="AH46" s="436"/>
      <c r="AI46" s="436"/>
      <c r="AJ46" s="358" t="e">
        <f aca="false">IF(M46="","",VLOOKUP(M46,SkillsTable,3,0))</f>
        <v>#N/A</v>
      </c>
      <c r="AK46" s="358"/>
      <c r="AL46" s="385" t="e">
        <f aca="false">IF($M46=""," ",VLOOKUP($M46,SkillsTable,4,0))</f>
        <v>#N/A</v>
      </c>
      <c r="AM46" s="385"/>
    </row>
    <row r="47" customFormat="false" ht="9.75" hidden="false" customHeight="true" outlineLevel="0" collapsed="false">
      <c r="A47" s="438" t="s">
        <v>1156</v>
      </c>
      <c r="B47" s="438"/>
      <c r="C47" s="438"/>
      <c r="D47" s="438"/>
      <c r="E47" s="438"/>
      <c r="F47" s="438"/>
      <c r="G47" s="438"/>
      <c r="H47" s="400" t="s">
        <v>1126</v>
      </c>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row>
    <row r="48" customFormat="false" ht="9.75" hidden="false" customHeight="true" outlineLevel="0" collapsed="false">
      <c r="A48" s="439" t="s">
        <v>540</v>
      </c>
      <c r="B48" s="439"/>
      <c r="C48" s="439"/>
      <c r="D48" s="440" t="s">
        <v>1157</v>
      </c>
      <c r="E48" s="440"/>
      <c r="F48" s="366" t="str">
        <f aca="false">IF(Build!X202="","",Build!X202)</f>
        <v/>
      </c>
      <c r="G48" s="366"/>
      <c r="H48" s="380"/>
      <c r="I48" s="380"/>
      <c r="J48" s="380"/>
      <c r="K48" s="380"/>
      <c r="L48" s="380"/>
      <c r="M48" s="380"/>
      <c r="N48" s="380"/>
      <c r="O48" s="380"/>
      <c r="P48" s="380"/>
      <c r="Q48" s="380"/>
      <c r="R48" s="380"/>
      <c r="S48" s="380"/>
      <c r="T48" s="381" t="s">
        <v>196</v>
      </c>
      <c r="U48" s="381"/>
      <c r="V48" s="381"/>
      <c r="W48" s="381" t="s">
        <v>230</v>
      </c>
      <c r="X48" s="381"/>
      <c r="Y48" s="381"/>
      <c r="Z48" s="381" t="s">
        <v>341</v>
      </c>
      <c r="AA48" s="381"/>
      <c r="AB48" s="381" t="s">
        <v>979</v>
      </c>
      <c r="AC48" s="381"/>
      <c r="AD48" s="381"/>
      <c r="AE48" s="381"/>
      <c r="AF48" s="381"/>
      <c r="AG48" s="381"/>
      <c r="AH48" s="381" t="s">
        <v>590</v>
      </c>
      <c r="AI48" s="381"/>
      <c r="AJ48" s="381" t="s">
        <v>1068</v>
      </c>
      <c r="AK48" s="381"/>
      <c r="AL48" s="382" t="s">
        <v>1127</v>
      </c>
      <c r="AM48" s="382"/>
    </row>
    <row r="49" customFormat="false" ht="9.75" hidden="false" customHeight="true" outlineLevel="0" collapsed="false">
      <c r="A49" s="439" t="s">
        <v>543</v>
      </c>
      <c r="B49" s="439"/>
      <c r="C49" s="439"/>
      <c r="D49" s="440" t="s">
        <v>1158</v>
      </c>
      <c r="E49" s="440"/>
      <c r="F49" s="366" t="n">
        <f aca="false">IF(Build!X203="","",Build!X203)</f>
        <v>700</v>
      </c>
      <c r="G49" s="366"/>
      <c r="H49" s="383" t="str">
        <f aca="true">IF(Build!P652,OFFSET(Build!D$615,Build!P652,0),"")</f>
        <v/>
      </c>
      <c r="I49" s="383"/>
      <c r="J49" s="383"/>
      <c r="K49" s="383"/>
      <c r="L49" s="383"/>
      <c r="M49" s="383"/>
      <c r="N49" s="383"/>
      <c r="O49" s="383"/>
      <c r="P49" s="383"/>
      <c r="Q49" s="383"/>
      <c r="R49" s="383"/>
      <c r="S49" s="383"/>
      <c r="T49" s="358" t="str">
        <f aca="true">IF(H49="","",TEXT(0,OFFSET(Build!E$615,Build!P652,0))&amp;IF(OFFSET(Build!I$615,Build!P652, 0)&gt;0,"+"&amp;OFFSET(Build!I$615,Build!P652,0),""))</f>
        <v/>
      </c>
      <c r="U49" s="358"/>
      <c r="V49" s="358"/>
      <c r="W49" s="358" t="str">
        <f aca="true">IF(H49=""," ",IF(OFFSET(Build!H$615,Build!P652,0)=" ","n/a","R+")&amp;OFFSET(Build!H$615,Build!P652,0))</f>
        <v> </v>
      </c>
      <c r="X49" s="358"/>
      <c r="Y49" s="358"/>
      <c r="Z49" s="358" t="str">
        <f aca="true">IF(H49=""," ",IF(OFFSET(Build!J$615,Build!P652,0)=" ","-",OFFSET(Build!J$615,Build!P652,0)))</f>
        <v> </v>
      </c>
      <c r="AA49" s="358"/>
      <c r="AB49" s="358" t="str">
        <f aca="true">IF(H49="","",OFFSET(Build!K$615,Build!P652,0))</f>
        <v/>
      </c>
      <c r="AC49" s="358"/>
      <c r="AD49" s="358"/>
      <c r="AE49" s="358"/>
      <c r="AF49" s="358"/>
      <c r="AG49" s="358"/>
      <c r="AH49" s="358" t="str">
        <f aca="true">IF(H49="","",MID(OFFSET(Build!M$615,Build!P652,0),1,1))</f>
        <v/>
      </c>
      <c r="AI49" s="358"/>
      <c r="AJ49" s="358" t="str">
        <f aca="true">IF(H49="","",MID(OFFSET(Build!M$615,Build!P652,0),5,1))</f>
        <v/>
      </c>
      <c r="AK49" s="358"/>
      <c r="AL49" s="385" t="str">
        <f aca="true">IF(H49="","",MID(OFFSET(Build!M$615,Build!P652,0),3,1))</f>
        <v/>
      </c>
      <c r="AM49" s="385"/>
    </row>
    <row r="50" customFormat="false" ht="9.75" hidden="false" customHeight="true" outlineLevel="0" collapsed="false">
      <c r="A50" s="439" t="s">
        <v>546</v>
      </c>
      <c r="B50" s="439"/>
      <c r="C50" s="439"/>
      <c r="D50" s="440" t="s">
        <v>1159</v>
      </c>
      <c r="E50" s="440"/>
      <c r="F50" s="366" t="str">
        <f aca="false">IF(Build!X204="","",Build!X204)</f>
        <v/>
      </c>
      <c r="G50" s="366"/>
      <c r="H50" s="383" t="str">
        <f aca="true">IF(Build!P653,OFFSET(Build!D$615,Build!P653,0),"")</f>
        <v/>
      </c>
      <c r="I50" s="383"/>
      <c r="J50" s="383"/>
      <c r="K50" s="383"/>
      <c r="L50" s="383"/>
      <c r="M50" s="383"/>
      <c r="N50" s="383"/>
      <c r="O50" s="383"/>
      <c r="P50" s="383"/>
      <c r="Q50" s="383"/>
      <c r="R50" s="383"/>
      <c r="S50" s="383"/>
      <c r="T50" s="358" t="str">
        <f aca="true">IF(H50="","",TEXT(0,OFFSET(Build!E$615,Build!P653,0))&amp;IF(OFFSET(Build!I$615,Build!P653, 0)&gt;0,"+"&amp;OFFSET(Build!I$615,Build!P653,0),""))</f>
        <v/>
      </c>
      <c r="U50" s="358"/>
      <c r="V50" s="358"/>
      <c r="W50" s="358" t="str">
        <f aca="true">IF(H50=""," ",IF(OFFSET(Build!H$615,Build!P653,0)=" ","n/a","R+")&amp;OFFSET(Build!H$615,Build!P653,0))</f>
        <v> </v>
      </c>
      <c r="X50" s="358"/>
      <c r="Y50" s="358"/>
      <c r="Z50" s="358" t="str">
        <f aca="true">IF(H50=""," ",IF(OFFSET(Build!J$615,Build!P653,0)=" ","-",OFFSET(Build!J$615,Build!P653,0)))</f>
        <v> </v>
      </c>
      <c r="AA50" s="358"/>
      <c r="AB50" s="358" t="str">
        <f aca="true">IF(H50="","",OFFSET(Build!K$615,Build!P653,0))</f>
        <v/>
      </c>
      <c r="AC50" s="358"/>
      <c r="AD50" s="358"/>
      <c r="AE50" s="358"/>
      <c r="AF50" s="358"/>
      <c r="AG50" s="358"/>
      <c r="AH50" s="358" t="str">
        <f aca="true">IF(H50="","",MID(OFFSET(Build!M$615,Build!P653,0),1,1))</f>
        <v/>
      </c>
      <c r="AI50" s="358"/>
      <c r="AJ50" s="358" t="str">
        <f aca="true">IF(H50="","",MID(OFFSET(Build!M$615,Build!P653,0),5,1))</f>
        <v/>
      </c>
      <c r="AK50" s="358"/>
      <c r="AL50" s="385" t="str">
        <f aca="true">IF(H50="","",MID(OFFSET(Build!M$615,Build!P653,0),3,1))</f>
        <v/>
      </c>
      <c r="AM50" s="385"/>
    </row>
    <row r="51" customFormat="false" ht="9.75" hidden="false" customHeight="true" outlineLevel="0" collapsed="false">
      <c r="A51" s="439" t="s">
        <v>550</v>
      </c>
      <c r="B51" s="439"/>
      <c r="C51" s="439"/>
      <c r="D51" s="440" t="s">
        <v>1160</v>
      </c>
      <c r="E51" s="440"/>
      <c r="F51" s="366" t="str">
        <f aca="false">IF(Build!X205="","",Build!X205)</f>
        <v/>
      </c>
      <c r="G51" s="366"/>
      <c r="H51" s="383" t="str">
        <f aca="true">IF(Build!P654,OFFSET(Build!D$615,Build!P654,0),"")</f>
        <v/>
      </c>
      <c r="I51" s="383"/>
      <c r="J51" s="383"/>
      <c r="K51" s="383"/>
      <c r="L51" s="383"/>
      <c r="M51" s="383"/>
      <c r="N51" s="383"/>
      <c r="O51" s="383"/>
      <c r="P51" s="383"/>
      <c r="Q51" s="383"/>
      <c r="R51" s="383"/>
      <c r="S51" s="383"/>
      <c r="T51" s="358" t="str">
        <f aca="true">IF(H51="","",TEXT(0,OFFSET(Build!E$615,Build!P654,0))&amp;IF(OFFSET(Build!I$615,Build!P654, 0)&gt;0,"+"&amp;OFFSET(Build!I$615,Build!P654,0),""))</f>
        <v/>
      </c>
      <c r="U51" s="358"/>
      <c r="V51" s="358"/>
      <c r="W51" s="358" t="str">
        <f aca="true">IF(H51=""," ",IF(OFFSET(Build!H$615,Build!P654,0)=" ","n/a","R+")&amp;OFFSET(Build!H$615,Build!P654,0))</f>
        <v> </v>
      </c>
      <c r="X51" s="358"/>
      <c r="Y51" s="358"/>
      <c r="Z51" s="358" t="str">
        <f aca="true">IF(H51=""," ",IF(OFFSET(Build!J$615,Build!P654,0)=" ","-",OFFSET(Build!J$615,Build!P654,0)))</f>
        <v> </v>
      </c>
      <c r="AA51" s="358"/>
      <c r="AB51" s="358" t="str">
        <f aca="true">IF(H51="","",OFFSET(Build!K$615,Build!P654,0))</f>
        <v/>
      </c>
      <c r="AC51" s="358"/>
      <c r="AD51" s="358"/>
      <c r="AE51" s="358"/>
      <c r="AF51" s="358"/>
      <c r="AG51" s="358"/>
      <c r="AH51" s="358" t="str">
        <f aca="true">IF(H51="","",MID(OFFSET(Build!M$615,Build!P654,0),1,1))</f>
        <v/>
      </c>
      <c r="AI51" s="358"/>
      <c r="AJ51" s="358" t="str">
        <f aca="true">IF(H51="","",MID(OFFSET(Build!M$615,Build!P654,0),5,1))</f>
        <v/>
      </c>
      <c r="AK51" s="358"/>
      <c r="AL51" s="385" t="str">
        <f aca="true">IF(H51="","",MID(OFFSET(Build!M$615,Build!P654,0),3,1))</f>
        <v/>
      </c>
      <c r="AM51" s="385"/>
    </row>
    <row r="52" customFormat="false" ht="9.75" hidden="false" customHeight="true" outlineLevel="0" collapsed="false">
      <c r="A52" s="439" t="s">
        <v>553</v>
      </c>
      <c r="B52" s="439"/>
      <c r="C52" s="439"/>
      <c r="D52" s="440" t="s">
        <v>1160</v>
      </c>
      <c r="E52" s="440"/>
      <c r="F52" s="366" t="str">
        <f aca="false">IF(Build!X206="","",Build!X206)</f>
        <v/>
      </c>
      <c r="G52" s="366"/>
      <c r="H52" s="383" t="str">
        <f aca="true">IF(Build!P655,OFFSET(Build!D$615,Build!P655,0),"")</f>
        <v/>
      </c>
      <c r="I52" s="383"/>
      <c r="J52" s="383"/>
      <c r="K52" s="383"/>
      <c r="L52" s="383"/>
      <c r="M52" s="383"/>
      <c r="N52" s="383"/>
      <c r="O52" s="383"/>
      <c r="P52" s="383"/>
      <c r="Q52" s="383"/>
      <c r="R52" s="383"/>
      <c r="S52" s="383"/>
      <c r="T52" s="358" t="str">
        <f aca="true">IF(H52="","",TEXT(0,OFFSET(Build!E$615,Build!P655,0))&amp;IF(OFFSET(Build!I$615,Build!P655, 0)&gt;0,"+"&amp;OFFSET(Build!I$615,Build!P655,0),""))</f>
        <v/>
      </c>
      <c r="U52" s="358"/>
      <c r="V52" s="358"/>
      <c r="W52" s="358" t="str">
        <f aca="true">IF(H52=""," ",IF(OFFSET(Build!H$615,Build!P655,0)=" ","n/a","R+")&amp;OFFSET(Build!H$615,Build!P655,0))</f>
        <v> </v>
      </c>
      <c r="X52" s="358"/>
      <c r="Y52" s="358"/>
      <c r="Z52" s="358" t="str">
        <f aca="true">IF(H52=""," ",IF(OFFSET(Build!J$615,Build!P655,0)=" ","-",OFFSET(Build!J$615,Build!P655,0)))</f>
        <v> </v>
      </c>
      <c r="AA52" s="358"/>
      <c r="AB52" s="358" t="str">
        <f aca="true">IF(H52="","",OFFSET(Build!K$615,Build!P655,0))</f>
        <v/>
      </c>
      <c r="AC52" s="358"/>
      <c r="AD52" s="358"/>
      <c r="AE52" s="358"/>
      <c r="AF52" s="358"/>
      <c r="AG52" s="358"/>
      <c r="AH52" s="358" t="str">
        <f aca="true">IF(H52="","",MID(OFFSET(Build!M$615,Build!P655,0),1,1))</f>
        <v/>
      </c>
      <c r="AI52" s="358"/>
      <c r="AJ52" s="358" t="str">
        <f aca="true">IF(H52="","",MID(OFFSET(Build!M$615,Build!P655,0),5,1))</f>
        <v/>
      </c>
      <c r="AK52" s="358"/>
      <c r="AL52" s="385" t="str">
        <f aca="true">IF(H52="","",MID(OFFSET(Build!M$615,Build!P655,0),3,1))</f>
        <v/>
      </c>
      <c r="AM52" s="385"/>
    </row>
    <row r="53" customFormat="false" ht="9.75" hidden="false" customHeight="true" outlineLevel="0" collapsed="false">
      <c r="A53" s="439" t="s">
        <v>556</v>
      </c>
      <c r="B53" s="439"/>
      <c r="C53" s="439"/>
      <c r="D53" s="440" t="s">
        <v>1161</v>
      </c>
      <c r="E53" s="440"/>
      <c r="F53" s="366" t="str">
        <f aca="false">IF(Build!X207="","",Build!X207)</f>
        <v/>
      </c>
      <c r="G53" s="366"/>
      <c r="H53" s="383" t="str">
        <f aca="true">IF(Build!P656,OFFSET(Build!D$615,Build!P656,0),"")</f>
        <v/>
      </c>
      <c r="I53" s="383"/>
      <c r="J53" s="383"/>
      <c r="K53" s="383"/>
      <c r="L53" s="383"/>
      <c r="M53" s="383"/>
      <c r="N53" s="383"/>
      <c r="O53" s="383"/>
      <c r="P53" s="383"/>
      <c r="Q53" s="383"/>
      <c r="R53" s="383"/>
      <c r="S53" s="383"/>
      <c r="T53" s="358" t="str">
        <f aca="true">IF(H53="","",TEXT(0,OFFSET(Build!E$615,Build!P656,0))&amp;IF(OFFSET(Build!I$615,Build!P656, 0)&gt;0,"+"&amp;OFFSET(Build!I$615,Build!P656,0),""))</f>
        <v/>
      </c>
      <c r="U53" s="358"/>
      <c r="V53" s="358"/>
      <c r="W53" s="358" t="str">
        <f aca="true">IF(H53=""," ",IF(OFFSET(Build!H$615,Build!P656,0)=" ","n/a","R+")&amp;OFFSET(Build!H$615,Build!P656,0))</f>
        <v> </v>
      </c>
      <c r="X53" s="358"/>
      <c r="Y53" s="358"/>
      <c r="Z53" s="358" t="str">
        <f aca="true">IF(H53=""," ",IF(OFFSET(Build!J$615,Build!P656,0)=" ","-",OFFSET(Build!J$615,Build!P656,0)))</f>
        <v> </v>
      </c>
      <c r="AA53" s="358"/>
      <c r="AB53" s="358" t="str">
        <f aca="true">IF(H53="","",OFFSET(Build!K$615,Build!P656,0))</f>
        <v/>
      </c>
      <c r="AC53" s="358"/>
      <c r="AD53" s="358"/>
      <c r="AE53" s="358"/>
      <c r="AF53" s="358"/>
      <c r="AG53" s="358"/>
      <c r="AH53" s="358" t="str">
        <f aca="true">IF(H53="","",MID(OFFSET(Build!M$615,Build!P656,0),1,1))</f>
        <v/>
      </c>
      <c r="AI53" s="358"/>
      <c r="AJ53" s="358" t="str">
        <f aca="true">IF(H53="","",MID(OFFSET(Build!M$615,Build!P656,0),5,1))</f>
        <v/>
      </c>
      <c r="AK53" s="358"/>
      <c r="AL53" s="385" t="str">
        <f aca="true">IF(H53="","",MID(OFFSET(Build!M$615,Build!P656,0),3,1))</f>
        <v/>
      </c>
      <c r="AM53" s="385"/>
    </row>
    <row r="54" customFormat="false" ht="9.75" hidden="false" customHeight="true" outlineLevel="0" collapsed="false">
      <c r="A54" s="439" t="s">
        <v>559</v>
      </c>
      <c r="B54" s="439"/>
      <c r="C54" s="439"/>
      <c r="D54" s="440" t="s">
        <v>1161</v>
      </c>
      <c r="E54" s="440"/>
      <c r="F54" s="366" t="str">
        <f aca="false">IF(Build!X208="","",Build!X208)</f>
        <v/>
      </c>
      <c r="G54" s="366"/>
      <c r="H54" s="383" t="str">
        <f aca="true">IF(Build!P657,OFFSET(Build!D$615,Build!P657,0),"")</f>
        <v/>
      </c>
      <c r="I54" s="383"/>
      <c r="J54" s="383"/>
      <c r="K54" s="383"/>
      <c r="L54" s="383"/>
      <c r="M54" s="383"/>
      <c r="N54" s="383"/>
      <c r="O54" s="383"/>
      <c r="P54" s="383"/>
      <c r="Q54" s="383"/>
      <c r="R54" s="383"/>
      <c r="S54" s="383"/>
      <c r="T54" s="358" t="str">
        <f aca="true">IF(H54="","",TEXT(0,OFFSET(Build!E$615,Build!P657,0))&amp;IF(OFFSET(Build!I$615,Build!P657, 0)&gt;0,"+"&amp;OFFSET(Build!I$615,Build!P657,0),""))</f>
        <v/>
      </c>
      <c r="U54" s="358"/>
      <c r="V54" s="358"/>
      <c r="W54" s="358" t="str">
        <f aca="true">IF(H54=""," ",IF(OFFSET(Build!H$615,Build!P657,0)=" ","n/a","R+")&amp;OFFSET(Build!H$615,Build!P657,0))</f>
        <v> </v>
      </c>
      <c r="X54" s="358"/>
      <c r="Y54" s="358"/>
      <c r="Z54" s="358" t="str">
        <f aca="true">IF(H54=""," ",IF(OFFSET(Build!J$615,Build!P657,0)=" ","-",OFFSET(Build!J$615,Build!P657,0)))</f>
        <v> </v>
      </c>
      <c r="AA54" s="358"/>
      <c r="AB54" s="358" t="str">
        <f aca="true">IF(H54="","",OFFSET(Build!K$615,Build!P657,0))</f>
        <v/>
      </c>
      <c r="AC54" s="358"/>
      <c r="AD54" s="358"/>
      <c r="AE54" s="358"/>
      <c r="AF54" s="358"/>
      <c r="AG54" s="358"/>
      <c r="AH54" s="358" t="str">
        <f aca="true">IF(H54="","",MID(OFFSET(Build!M$615,Build!P657,0),1,1))</f>
        <v/>
      </c>
      <c r="AI54" s="358"/>
      <c r="AJ54" s="358" t="str">
        <f aca="true">IF(H54="","",MID(OFFSET(Build!M$615,Build!P657,0),5,1))</f>
        <v/>
      </c>
      <c r="AK54" s="358"/>
      <c r="AL54" s="385" t="str">
        <f aca="true">IF(H54="","",MID(OFFSET(Build!M$615,Build!P657,0),3,1))</f>
        <v/>
      </c>
      <c r="AM54" s="385"/>
    </row>
    <row r="55" customFormat="false" ht="9.75" hidden="false" customHeight="true" outlineLevel="0" collapsed="false">
      <c r="A55" s="441" t="s">
        <v>562</v>
      </c>
      <c r="B55" s="441"/>
      <c r="C55" s="441"/>
      <c r="D55" s="442" t="s">
        <v>1162</v>
      </c>
      <c r="E55" s="442"/>
      <c r="F55" s="443" t="str">
        <f aca="false">IF(Build!X209="","",Build!X209)</f>
        <v/>
      </c>
      <c r="G55" s="443"/>
      <c r="H55" s="383" t="str">
        <f aca="true">IF(Build!P658,OFFSET(Build!D$615,Build!P658,0),"")</f>
        <v/>
      </c>
      <c r="I55" s="383"/>
      <c r="J55" s="383"/>
      <c r="K55" s="383"/>
      <c r="L55" s="383"/>
      <c r="M55" s="383"/>
      <c r="N55" s="383"/>
      <c r="O55" s="383"/>
      <c r="P55" s="383"/>
      <c r="Q55" s="383"/>
      <c r="R55" s="383"/>
      <c r="S55" s="383"/>
      <c r="T55" s="358" t="str">
        <f aca="true">IF(H55="","",TEXT(0,OFFSET(Build!E$615,Build!P658,0))&amp;IF(OFFSET(Build!I$615,Build!P658, 0)&gt;0,"+"&amp;OFFSET(Build!I$615,Build!P658,0),""))</f>
        <v/>
      </c>
      <c r="U55" s="358"/>
      <c r="V55" s="358"/>
      <c r="W55" s="358" t="str">
        <f aca="true">IF(H55=""," ",IF(OFFSET(Build!H$615,Build!P658,0)=" ","n/a","R+")&amp;OFFSET(Build!H$615,Build!P658,0))</f>
        <v> </v>
      </c>
      <c r="X55" s="358"/>
      <c r="Y55" s="358"/>
      <c r="Z55" s="358" t="str">
        <f aca="true">IF(H55=""," ",IF(OFFSET(Build!J$615,Build!P658,0)=" ","-",OFFSET(Build!J$615,Build!P658,0)))</f>
        <v> </v>
      </c>
      <c r="AA55" s="358"/>
      <c r="AB55" s="358" t="str">
        <f aca="true">IF(H55="","",OFFSET(Build!K$615,Build!P658,0))</f>
        <v/>
      </c>
      <c r="AC55" s="358"/>
      <c r="AD55" s="358"/>
      <c r="AE55" s="358"/>
      <c r="AF55" s="358"/>
      <c r="AG55" s="358"/>
      <c r="AH55" s="358" t="str">
        <f aca="true">IF(H55="","",MID(OFFSET(Build!M$615,Build!P658,0),1,1))</f>
        <v/>
      </c>
      <c r="AI55" s="358"/>
      <c r="AJ55" s="358" t="str">
        <f aca="true">IF(H55="","",MID(OFFSET(Build!M$615,Build!P658,0),5,1))</f>
        <v/>
      </c>
      <c r="AK55" s="358"/>
      <c r="AL55" s="385" t="str">
        <f aca="true">IF(H55="","",MID(OFFSET(Build!M$615,Build!P658,0),3,1))</f>
        <v/>
      </c>
      <c r="AM55" s="385"/>
    </row>
    <row r="56" customFormat="false" ht="9.75" hidden="false" customHeight="true" outlineLevel="0" collapsed="false">
      <c r="A56" s="444" t="s">
        <v>1163</v>
      </c>
      <c r="B56" s="444"/>
      <c r="C56" s="444"/>
      <c r="D56" s="444"/>
      <c r="E56" s="444"/>
      <c r="F56" s="445" t="n">
        <f aca="false">SUM(F48:G48)/48+SUM(F49:G49)/64+SUM(F50:G50)/80+SUM(F51:G55)/160</f>
        <v>10.9375</v>
      </c>
      <c r="G56" s="445"/>
      <c r="H56" s="383" t="str">
        <f aca="true">IF(Build!P659,OFFSET(Build!D$615,Build!P659,0),"")</f>
        <v/>
      </c>
      <c r="I56" s="383"/>
      <c r="J56" s="383"/>
      <c r="K56" s="383"/>
      <c r="L56" s="383"/>
      <c r="M56" s="383"/>
      <c r="N56" s="383"/>
      <c r="O56" s="383"/>
      <c r="P56" s="383"/>
      <c r="Q56" s="383"/>
      <c r="R56" s="383"/>
      <c r="S56" s="383"/>
      <c r="T56" s="358" t="str">
        <f aca="true">IF(H56="","",TEXT(0,OFFSET(Build!E$615,Build!P659,0))&amp;IF(OFFSET(Build!I$615,Build!P659, 0)&gt;0,"+"&amp;OFFSET(Build!I$615,Build!P659,0),""))</f>
        <v/>
      </c>
      <c r="U56" s="358"/>
      <c r="V56" s="358"/>
      <c r="W56" s="358" t="str">
        <f aca="true">IF(H56=""," ",IF(OFFSET(Build!H$615,Build!P659,0)=" ","n/a","R+")&amp;OFFSET(Build!H$615,Build!P659,0))</f>
        <v> </v>
      </c>
      <c r="X56" s="358"/>
      <c r="Y56" s="358"/>
      <c r="Z56" s="358" t="str">
        <f aca="true">IF(H56=""," ",IF(OFFSET(Build!J$615,Build!P659,0)=" ","-",OFFSET(Build!J$615,Build!P659,0)))</f>
        <v> </v>
      </c>
      <c r="AA56" s="358"/>
      <c r="AB56" s="358" t="str">
        <f aca="true">IF(H56="","",OFFSET(Build!K$615,Build!P659,0))</f>
        <v/>
      </c>
      <c r="AC56" s="358"/>
      <c r="AD56" s="358"/>
      <c r="AE56" s="358"/>
      <c r="AF56" s="358"/>
      <c r="AG56" s="358"/>
      <c r="AH56" s="358" t="str">
        <f aca="true">IF(H56="","",MID(OFFSET(Build!M$615,Build!P659,0),1,1))</f>
        <v/>
      </c>
      <c r="AI56" s="358"/>
      <c r="AJ56" s="358" t="str">
        <f aca="true">IF(H56="","",MID(OFFSET(Build!M$615,Build!P659,0),5,1))</f>
        <v/>
      </c>
      <c r="AK56" s="358"/>
      <c r="AL56" s="385" t="str">
        <f aca="true">IF(H56="","",MID(OFFSET(Build!M$615,Build!P659,0),3,1))</f>
        <v/>
      </c>
      <c r="AM56" s="385"/>
    </row>
    <row r="57" customFormat="false" ht="9.75" hidden="false" customHeight="true" outlineLevel="0" collapsed="false">
      <c r="A57" s="446" t="str">
        <f aca="false">IF(Build!W210="","",Build!W210)</f>
        <v/>
      </c>
      <c r="B57" s="446"/>
      <c r="C57" s="446"/>
      <c r="D57" s="446"/>
      <c r="E57" s="446"/>
      <c r="F57" s="446"/>
      <c r="G57" s="446"/>
      <c r="H57" s="383" t="str">
        <f aca="true">IF(Build!P660,OFFSET(Build!D$615,Build!P660,0),"")</f>
        <v/>
      </c>
      <c r="I57" s="383"/>
      <c r="J57" s="383"/>
      <c r="K57" s="383"/>
      <c r="L57" s="383"/>
      <c r="M57" s="383"/>
      <c r="N57" s="383"/>
      <c r="O57" s="383"/>
      <c r="P57" s="383"/>
      <c r="Q57" s="383"/>
      <c r="R57" s="383"/>
      <c r="S57" s="383"/>
      <c r="T57" s="358" t="str">
        <f aca="true">IF(H57="","",TEXT(0,OFFSET(Build!E$615,Build!P660,0))&amp;IF(OFFSET(Build!I$615,Build!P660, 0)&gt;0,"+"&amp;OFFSET(Build!I$615,Build!P660,0),""))</f>
        <v/>
      </c>
      <c r="U57" s="358"/>
      <c r="V57" s="358"/>
      <c r="W57" s="358" t="str">
        <f aca="true">IF(H57=""," ",IF(OFFSET(Build!H$615,Build!P660,0)=" ","n/a","R+")&amp;OFFSET(Build!H$615,Build!P660,0))</f>
        <v> </v>
      </c>
      <c r="X57" s="358"/>
      <c r="Y57" s="358"/>
      <c r="Z57" s="358" t="str">
        <f aca="true">IF(H57=""," ",IF(OFFSET(Build!J$615,Build!P660,0)=" ","-",OFFSET(Build!J$615,Build!P660,0)))</f>
        <v> </v>
      </c>
      <c r="AA57" s="358"/>
      <c r="AB57" s="358" t="str">
        <f aca="true">IF(H57="","",OFFSET(Build!K$615,Build!P660,0))</f>
        <v/>
      </c>
      <c r="AC57" s="358"/>
      <c r="AD57" s="358"/>
      <c r="AE57" s="358"/>
      <c r="AF57" s="358"/>
      <c r="AG57" s="358"/>
      <c r="AH57" s="358" t="str">
        <f aca="true">IF(H57="","",MID(OFFSET(Build!M$615,Build!P660,0),1,1))</f>
        <v/>
      </c>
      <c r="AI57" s="358"/>
      <c r="AJ57" s="358" t="str">
        <f aca="true">IF(H57="","",MID(OFFSET(Build!M$615,Build!P660,0),5,1))</f>
        <v/>
      </c>
      <c r="AK57" s="358"/>
      <c r="AL57" s="385" t="str">
        <f aca="true">IF(H57="","",MID(OFFSET(Build!M$615,Build!P660,0),3,1))</f>
        <v/>
      </c>
      <c r="AM57" s="385"/>
    </row>
    <row r="58" customFormat="false" ht="9.75" hidden="false" customHeight="true" outlineLevel="0" collapsed="false">
      <c r="A58" s="447" t="str">
        <f aca="false">IF(Build!W211="","",Build!W211)</f>
        <v/>
      </c>
      <c r="B58" s="447"/>
      <c r="C58" s="447"/>
      <c r="D58" s="447"/>
      <c r="E58" s="447"/>
      <c r="F58" s="447"/>
      <c r="G58" s="447"/>
      <c r="H58" s="383" t="str">
        <f aca="true">IF(Build!P661,OFFSET(Build!D$615,Build!P661,0),"")</f>
        <v/>
      </c>
      <c r="I58" s="383"/>
      <c r="J58" s="383"/>
      <c r="K58" s="383"/>
      <c r="L58" s="383"/>
      <c r="M58" s="383"/>
      <c r="N58" s="383"/>
      <c r="O58" s="383"/>
      <c r="P58" s="383"/>
      <c r="Q58" s="383"/>
      <c r="R58" s="383"/>
      <c r="S58" s="383"/>
      <c r="T58" s="358" t="str">
        <f aca="true">IF(H58="","",TEXT(0,OFFSET(Build!E$615,Build!P661,0))&amp;IF(OFFSET(Build!I$615,Build!P661, 0)&gt;0,"+"&amp;OFFSET(Build!I$615,Build!P661,0),""))</f>
        <v/>
      </c>
      <c r="U58" s="358"/>
      <c r="V58" s="358"/>
      <c r="W58" s="358" t="str">
        <f aca="true">IF(H58=""," ",IF(OFFSET(Build!H$615,Build!P661,0)=" ","n/a","R+")&amp;OFFSET(Build!H$615,Build!P661,0))</f>
        <v> </v>
      </c>
      <c r="X58" s="358"/>
      <c r="Y58" s="358"/>
      <c r="Z58" s="358" t="str">
        <f aca="true">IF(H58=""," ",IF(OFFSET(Build!J$615,Build!P661,0)=" ","-",OFFSET(Build!J$615,Build!P661,0)))</f>
        <v> </v>
      </c>
      <c r="AA58" s="358"/>
      <c r="AB58" s="358" t="str">
        <f aca="true">IF(H58="","",OFFSET(Build!K$615,Build!P661,0))</f>
        <v/>
      </c>
      <c r="AC58" s="358"/>
      <c r="AD58" s="358"/>
      <c r="AE58" s="358"/>
      <c r="AF58" s="358"/>
      <c r="AG58" s="358"/>
      <c r="AH58" s="358" t="str">
        <f aca="true">IF(H58="","",MID(OFFSET(Build!M$615,Build!P661,0),1,1))</f>
        <v/>
      </c>
      <c r="AI58" s="358"/>
      <c r="AJ58" s="358" t="str">
        <f aca="true">IF(H58="","",MID(OFFSET(Build!M$615,Build!P661,0),5,1))</f>
        <v/>
      </c>
      <c r="AK58" s="358"/>
      <c r="AL58" s="385" t="str">
        <f aca="true">IF(H58="","",MID(OFFSET(Build!M$615,Build!P661,0),3,1))</f>
        <v/>
      </c>
      <c r="AM58" s="385"/>
    </row>
    <row r="59" customFormat="false" ht="9.75" hidden="false" customHeight="true" outlineLevel="0" collapsed="false">
      <c r="A59" s="448" t="s">
        <v>27</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row>
    <row r="60" customFormat="false" ht="9.75" hidden="false" customHeight="true" outlineLevel="0" collapsed="false">
      <c r="A60" s="431" t="s">
        <v>1164</v>
      </c>
      <c r="B60" s="431"/>
      <c r="C60" s="431"/>
      <c r="D60" s="431"/>
      <c r="E60" s="431"/>
      <c r="F60" s="431"/>
      <c r="G60" s="431"/>
      <c r="H60" s="431"/>
      <c r="I60" s="431"/>
      <c r="J60" s="431"/>
      <c r="K60" s="449" t="s">
        <v>1165</v>
      </c>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t="s">
        <v>158</v>
      </c>
      <c r="AJ60" s="449"/>
      <c r="AK60" s="449"/>
      <c r="AL60" s="434" t="s">
        <v>1149</v>
      </c>
      <c r="AM60" s="434"/>
    </row>
    <row r="61" customFormat="false" ht="9.75" hidden="false" customHeight="true" outlineLevel="0" collapsed="false">
      <c r="A61" s="360" t="str">
        <f aca="false">IF(Build!B315&lt;&gt;"",Build!B315,"")</f>
        <v/>
      </c>
      <c r="B61" s="360"/>
      <c r="C61" s="360"/>
      <c r="D61" s="360"/>
      <c r="E61" s="360"/>
      <c r="F61" s="360"/>
      <c r="G61" s="360"/>
      <c r="H61" s="360"/>
      <c r="I61" s="360"/>
      <c r="J61" s="360"/>
      <c r="K61" s="361" t="str">
        <f aca="false">IF(Build!H315="","",Build!H315)</f>
        <v/>
      </c>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450" t="str">
        <f aca="false">IF(Build!V315&lt;&gt;"",Build!V315,"")</f>
        <v/>
      </c>
      <c r="AJ61" s="450"/>
      <c r="AK61" s="450"/>
      <c r="AL61" s="451" t="str">
        <f aca="false">IF(Build!B315&lt;&gt;"",Build!X315,"")</f>
        <v/>
      </c>
      <c r="AM61" s="451"/>
    </row>
    <row r="62" customFormat="false" ht="9.75" hidden="false" customHeight="true" outlineLevel="0" collapsed="false">
      <c r="A62" s="360" t="str">
        <f aca="false">IF(Build!B316&lt;&gt;"",Build!B316,"")</f>
        <v/>
      </c>
      <c r="B62" s="360"/>
      <c r="C62" s="360"/>
      <c r="D62" s="360"/>
      <c r="E62" s="360"/>
      <c r="F62" s="360"/>
      <c r="G62" s="360"/>
      <c r="H62" s="360"/>
      <c r="I62" s="360"/>
      <c r="J62" s="360"/>
      <c r="K62" s="361" t="str">
        <f aca="false">IF(Build!H316="","",Build!H316)</f>
        <v/>
      </c>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450" t="str">
        <f aca="false">IF(Build!V316&lt;&gt;"",Build!V316,"")</f>
        <v/>
      </c>
      <c r="AJ62" s="450"/>
      <c r="AK62" s="450"/>
      <c r="AL62" s="451" t="str">
        <f aca="false">IF(Build!B316&lt;&gt;"",Build!X316,"")</f>
        <v/>
      </c>
      <c r="AM62" s="451"/>
    </row>
    <row r="63" customFormat="false" ht="9.75" hidden="false" customHeight="true" outlineLevel="0" collapsed="false">
      <c r="A63" s="360" t="str">
        <f aca="false">IF(Build!B318&lt;&gt;"",Build!B318,"")</f>
        <v/>
      </c>
      <c r="B63" s="360"/>
      <c r="C63" s="360"/>
      <c r="D63" s="360"/>
      <c r="E63" s="360"/>
      <c r="F63" s="360"/>
      <c r="G63" s="360"/>
      <c r="H63" s="360"/>
      <c r="I63" s="360"/>
      <c r="J63" s="360"/>
      <c r="K63" s="361" t="str">
        <f aca="false">IF(Build!H318="","",Build!H318)</f>
        <v/>
      </c>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450" t="str">
        <f aca="false">IF(Build!V318&lt;&gt;"",Build!V318,"")</f>
        <v/>
      </c>
      <c r="AJ63" s="450"/>
      <c r="AK63" s="450"/>
      <c r="AL63" s="451" t="str">
        <f aca="false">IF(Build!B318&lt;&gt;"",Build!X318,"")</f>
        <v/>
      </c>
      <c r="AM63" s="451"/>
    </row>
    <row r="64" customFormat="false" ht="9.75" hidden="false" customHeight="true" outlineLevel="0" collapsed="false">
      <c r="A64" s="360" t="str">
        <f aca="false">IF(Build!B319&lt;&gt;"",Build!B319,"")</f>
        <v/>
      </c>
      <c r="B64" s="360"/>
      <c r="C64" s="360"/>
      <c r="D64" s="360"/>
      <c r="E64" s="360"/>
      <c r="F64" s="360"/>
      <c r="G64" s="360"/>
      <c r="H64" s="360"/>
      <c r="I64" s="360"/>
      <c r="J64" s="360"/>
      <c r="K64" s="361" t="str">
        <f aca="false">IF(Build!H319="","",Build!H319)</f>
        <v/>
      </c>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450" t="str">
        <f aca="false">IF(Build!V319&lt;&gt;"",Build!V319,"")</f>
        <v/>
      </c>
      <c r="AJ64" s="450"/>
      <c r="AK64" s="450"/>
      <c r="AL64" s="451" t="str">
        <f aca="false">IF(Build!B319&lt;&gt;"",Build!X319,"")</f>
        <v/>
      </c>
      <c r="AM64" s="451"/>
    </row>
    <row r="65" customFormat="false" ht="9.75" hidden="false" customHeight="true" outlineLevel="0" collapsed="false">
      <c r="A65" s="360" t="str">
        <f aca="false">IF(Build!B320&lt;&gt;"",Build!B320,"")</f>
        <v/>
      </c>
      <c r="B65" s="360"/>
      <c r="C65" s="360"/>
      <c r="D65" s="360"/>
      <c r="E65" s="360"/>
      <c r="F65" s="360"/>
      <c r="G65" s="360"/>
      <c r="H65" s="360"/>
      <c r="I65" s="360"/>
      <c r="J65" s="360"/>
      <c r="K65" s="361" t="str">
        <f aca="false">IF(Build!H320="","",Build!H320)</f>
        <v/>
      </c>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450" t="str">
        <f aca="false">IF(Build!V320&lt;&gt;"",Build!V320,"")</f>
        <v/>
      </c>
      <c r="AJ65" s="450"/>
      <c r="AK65" s="450"/>
      <c r="AL65" s="451" t="str">
        <f aca="false">IF(Build!B320&lt;&gt;"",Build!X320,"")</f>
        <v/>
      </c>
      <c r="AM65" s="451"/>
    </row>
    <row r="66" customFormat="false" ht="9.75" hidden="false" customHeight="true" outlineLevel="0" collapsed="false">
      <c r="A66" s="452" t="s">
        <v>24</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row>
    <row r="67" customFormat="false" ht="9.75" hidden="false" customHeight="true" outlineLevel="0" collapsed="false">
      <c r="A67" s="402" t="s">
        <v>1164</v>
      </c>
      <c r="B67" s="402"/>
      <c r="C67" s="402"/>
      <c r="D67" s="402"/>
      <c r="E67" s="402"/>
      <c r="F67" s="402"/>
      <c r="G67" s="402"/>
      <c r="H67" s="402"/>
      <c r="I67" s="449" t="s">
        <v>1149</v>
      </c>
      <c r="J67" s="449"/>
      <c r="K67" s="449" t="s">
        <v>1164</v>
      </c>
      <c r="L67" s="449"/>
      <c r="M67" s="449"/>
      <c r="N67" s="449"/>
      <c r="O67" s="449"/>
      <c r="P67" s="449"/>
      <c r="Q67" s="449"/>
      <c r="R67" s="449"/>
      <c r="S67" s="449" t="s">
        <v>1149</v>
      </c>
      <c r="T67" s="449"/>
      <c r="U67" s="449" t="s">
        <v>1164</v>
      </c>
      <c r="V67" s="449"/>
      <c r="W67" s="449"/>
      <c r="X67" s="449"/>
      <c r="Y67" s="449"/>
      <c r="Z67" s="449"/>
      <c r="AA67" s="449"/>
      <c r="AB67" s="449"/>
      <c r="AC67" s="453" t="s">
        <v>1149</v>
      </c>
      <c r="AD67" s="453"/>
      <c r="AE67" s="381" t="s">
        <v>1164</v>
      </c>
      <c r="AF67" s="381"/>
      <c r="AG67" s="381"/>
      <c r="AH67" s="381"/>
      <c r="AI67" s="381"/>
      <c r="AJ67" s="381"/>
      <c r="AK67" s="381"/>
      <c r="AL67" s="403" t="s">
        <v>1149</v>
      </c>
      <c r="AM67" s="403"/>
    </row>
    <row r="68" customFormat="false" ht="9.75" hidden="false" customHeight="true" outlineLevel="0" collapsed="false">
      <c r="A68" s="383" t="str">
        <f aca="true">IF(Build!CH617,OFFSET(Build!CE$616,Build!CH617,0)," ")</f>
        <v>Peasant's Garb</v>
      </c>
      <c r="B68" s="383"/>
      <c r="C68" s="383"/>
      <c r="D68" s="383"/>
      <c r="E68" s="383"/>
      <c r="F68" s="383"/>
      <c r="G68" s="383"/>
      <c r="H68" s="383"/>
      <c r="I68" s="436" t="str">
        <f aca="true">IF(Build!CH617,OFFSET(Build!CF$616,Build!CH617,0)," ")</f>
        <v> </v>
      </c>
      <c r="J68" s="436"/>
      <c r="K68" s="454" t="str">
        <f aca="true">IF(Build!CH625,OFFSET(Build!CE$616,Build!CH625,0)," ")</f>
        <v>Blanket</v>
      </c>
      <c r="L68" s="454"/>
      <c r="M68" s="454"/>
      <c r="N68" s="454"/>
      <c r="O68" s="454"/>
      <c r="P68" s="454"/>
      <c r="Q68" s="454"/>
      <c r="R68" s="454"/>
      <c r="S68" s="436" t="n">
        <f aca="true">IF(Build!CH625,OFFSET(Build!CF$616,Build!CH625,0)," ")</f>
        <v>2</v>
      </c>
      <c r="T68" s="436"/>
      <c r="U68" s="454" t="str">
        <f aca="true">IF(Build!CH633,OFFSET(Build!CE$616,Build!CH633,0)," ")</f>
        <v>Tent (two-person)</v>
      </c>
      <c r="V68" s="454"/>
      <c r="W68" s="454"/>
      <c r="X68" s="454"/>
      <c r="Y68" s="454"/>
      <c r="Z68" s="454"/>
      <c r="AA68" s="454"/>
      <c r="AB68" s="454"/>
      <c r="AC68" s="436" t="n">
        <f aca="true">IF(Build!CH633,OFFSET(Build!CF$616,Build!CH633,0)," ")</f>
        <v>20</v>
      </c>
      <c r="AD68" s="436"/>
      <c r="AE68" s="375" t="str">
        <f aca="true">IF(Build!CH641,OFFSET(Build!CE$616,Build!CH641,0)," ")</f>
        <v>Small Light Quartz</v>
      </c>
      <c r="AF68" s="375"/>
      <c r="AG68" s="375"/>
      <c r="AH68" s="375"/>
      <c r="AI68" s="375"/>
      <c r="AJ68" s="375"/>
      <c r="AK68" s="375"/>
      <c r="AL68" s="411" t="n">
        <f aca="true">IF(Build!CH641,OFFSET(Build!CF$616,Build!CH641,0)," ")</f>
        <v>2</v>
      </c>
      <c r="AM68" s="411"/>
    </row>
    <row r="69" customFormat="false" ht="9.75" hidden="false" customHeight="true" outlineLevel="0" collapsed="false">
      <c r="A69" s="383" t="str">
        <f aca="true">IF(Build!CH618,OFFSET(Build!CE$616,Build!CH618,0)," ")</f>
        <v>Cloaksense Brooch</v>
      </c>
      <c r="B69" s="383"/>
      <c r="C69" s="383"/>
      <c r="D69" s="383"/>
      <c r="E69" s="383"/>
      <c r="F69" s="383"/>
      <c r="G69" s="383"/>
      <c r="H69" s="383"/>
      <c r="I69" s="436" t="str">
        <f aca="true">IF(Build!CH618,OFFSET(Build!CF$616,Build!CH618,0)," ")</f>
        <v> </v>
      </c>
      <c r="J69" s="436"/>
      <c r="K69" s="375" t="str">
        <f aca="true">IF(Build!CH626,OFFSET(Build!CE$616,Build!CH626,0)," ")</f>
        <v>Flint and Steel</v>
      </c>
      <c r="L69" s="375"/>
      <c r="M69" s="375"/>
      <c r="N69" s="375"/>
      <c r="O69" s="375"/>
      <c r="P69" s="375"/>
      <c r="Q69" s="375"/>
      <c r="R69" s="375"/>
      <c r="S69" s="358" t="n">
        <f aca="true">IF(Build!CH626,OFFSET(Build!CF$616,Build!CH626,0)," ")</f>
        <v>0.5</v>
      </c>
      <c r="T69" s="358"/>
      <c r="U69" s="375" t="str">
        <f aca="true">IF(Build!CH634,OFFSET(Build!CE$616,Build!CH634,0)," ")</f>
        <v>Thieves' Picks and Tools</v>
      </c>
      <c r="V69" s="375"/>
      <c r="W69" s="375"/>
      <c r="X69" s="375"/>
      <c r="Y69" s="375"/>
      <c r="Z69" s="375"/>
      <c r="AA69" s="375"/>
      <c r="AB69" s="375"/>
      <c r="AC69" s="358" t="n">
        <f aca="true">IF(Build!CH634,OFFSET(Build!CF$616,Build!CH634,0)," ")</f>
        <v>1</v>
      </c>
      <c r="AD69" s="358"/>
      <c r="AE69" s="375" t="str">
        <f aca="true">IF(Build!CH642,OFFSET(Build!CE$616,Build!CH642,0)," ")</f>
        <v> </v>
      </c>
      <c r="AF69" s="375"/>
      <c r="AG69" s="375"/>
      <c r="AH69" s="375"/>
      <c r="AI69" s="375"/>
      <c r="AJ69" s="375"/>
      <c r="AK69" s="375"/>
      <c r="AL69" s="411" t="str">
        <f aca="true">IF(Build!CH642,OFFSET(Build!CF$616,Build!CH642,0)," ")</f>
        <v> </v>
      </c>
      <c r="AM69" s="411"/>
    </row>
    <row r="70" customFormat="false" ht="9.75" hidden="false" customHeight="true" outlineLevel="0" collapsed="false">
      <c r="A70" s="383" t="str">
        <f aca="true">IF(Build!CH619,OFFSET(Build!CE$616,Build!CH619,0)," ")</f>
        <v>Wool Cloak</v>
      </c>
      <c r="B70" s="383"/>
      <c r="C70" s="383"/>
      <c r="D70" s="383"/>
      <c r="E70" s="383"/>
      <c r="F70" s="383"/>
      <c r="G70" s="383"/>
      <c r="H70" s="383"/>
      <c r="I70" s="436" t="str">
        <f aca="true">IF(Build!CH619,OFFSET(Build!CF$616,Build!CH619,0)," ")</f>
        <v> </v>
      </c>
      <c r="J70" s="436"/>
      <c r="K70" s="375" t="str">
        <f aca="true">IF(Build!CH627,OFFSET(Build!CE$616,Build!CH627,0)," ")</f>
        <v>Light Quartz Lantern</v>
      </c>
      <c r="L70" s="375"/>
      <c r="M70" s="375"/>
      <c r="N70" s="375"/>
      <c r="O70" s="375"/>
      <c r="P70" s="375"/>
      <c r="Q70" s="375"/>
      <c r="R70" s="375"/>
      <c r="S70" s="358" t="n">
        <f aca="true">IF(Build!CH627,OFFSET(Build!CF$616,Build!CH627,0)," ")</f>
        <v>5</v>
      </c>
      <c r="T70" s="358"/>
      <c r="U70" s="375" t="str">
        <f aca="true">IF(Build!CH635,OFFSET(Build!CE$616,Build!CH635,0)," ")</f>
        <v>Torch (5)</v>
      </c>
      <c r="V70" s="375"/>
      <c r="W70" s="375"/>
      <c r="X70" s="375"/>
      <c r="Y70" s="375"/>
      <c r="Z70" s="375"/>
      <c r="AA70" s="375"/>
      <c r="AB70" s="375"/>
      <c r="AC70" s="358" t="n">
        <f aca="true">IF(Build!CH635,OFFSET(Build!CF$616,Build!CH635,0)," ")</f>
        <v>5</v>
      </c>
      <c r="AD70" s="358"/>
      <c r="AE70" s="375" t="str">
        <f aca="true">IF(Build!CH643,OFFSET(Build!CE$616,Build!CH643,0)," ")</f>
        <v> </v>
      </c>
      <c r="AF70" s="375"/>
      <c r="AG70" s="375"/>
      <c r="AH70" s="375"/>
      <c r="AI70" s="375"/>
      <c r="AJ70" s="375"/>
      <c r="AK70" s="375"/>
      <c r="AL70" s="411" t="str">
        <f aca="true">IF(Build!CH643,OFFSET(Build!CF$616,Build!CH643,0)," ")</f>
        <v> </v>
      </c>
      <c r="AM70" s="411"/>
    </row>
    <row r="71" customFormat="false" ht="9.75" hidden="false" customHeight="true" outlineLevel="0" collapsed="false">
      <c r="A71" s="383" t="str">
        <f aca="true">IF(Build!CH620,OFFSET(Build!CE$616,Build!CH620,0)," ")</f>
        <v>Fine Quality Hat</v>
      </c>
      <c r="B71" s="383"/>
      <c r="C71" s="383"/>
      <c r="D71" s="383"/>
      <c r="E71" s="383"/>
      <c r="F71" s="383"/>
      <c r="G71" s="383"/>
      <c r="H71" s="383"/>
      <c r="I71" s="436" t="str">
        <f aca="true">IF(Build!CH620,OFFSET(Build!CF$616,Build!CH620,0)," ")</f>
        <v> </v>
      </c>
      <c r="J71" s="436"/>
      <c r="K71" s="375" t="str">
        <f aca="true">IF(Build!CH628,OFFSET(Build!CE$616,Build!CH628,0)," ")</f>
        <v>Map/scroll Case</v>
      </c>
      <c r="L71" s="375"/>
      <c r="M71" s="375"/>
      <c r="N71" s="375"/>
      <c r="O71" s="375"/>
      <c r="P71" s="375"/>
      <c r="Q71" s="375"/>
      <c r="R71" s="375"/>
      <c r="S71" s="358" t="n">
        <f aca="true">IF(Build!CH628,OFFSET(Build!CF$616,Build!CH628,0)," ")</f>
        <v>1</v>
      </c>
      <c r="T71" s="358"/>
      <c r="U71" s="375" t="str">
        <f aca="true">IF(Build!CH636,OFFSET(Build!CE$616,Build!CH636,0)," ")</f>
        <v>Writing-ink Vial (10 pages) (2)</v>
      </c>
      <c r="V71" s="375"/>
      <c r="W71" s="375"/>
      <c r="X71" s="375"/>
      <c r="Y71" s="375"/>
      <c r="Z71" s="375"/>
      <c r="AA71" s="375"/>
      <c r="AB71" s="375"/>
      <c r="AC71" s="358" t="n">
        <f aca="true">IF(Build!CH636,OFFSET(Build!CF$616,Build!CH636,0)," ")</f>
        <v>1</v>
      </c>
      <c r="AD71" s="358"/>
      <c r="AE71" s="375" t="str">
        <f aca="true">IF(Build!CH644,OFFSET(Build!CE$616,Build!CH644,0)," ")</f>
        <v> </v>
      </c>
      <c r="AF71" s="375"/>
      <c r="AG71" s="375"/>
      <c r="AH71" s="375"/>
      <c r="AI71" s="375"/>
      <c r="AJ71" s="375"/>
      <c r="AK71" s="375"/>
      <c r="AL71" s="411" t="str">
        <f aca="true">IF(Build!CH644,OFFSET(Build!CF$616,Build!CH644,0)," ")</f>
        <v> </v>
      </c>
      <c r="AM71" s="411"/>
    </row>
    <row r="72" customFormat="false" ht="9.75" hidden="false" customHeight="true" outlineLevel="0" collapsed="false">
      <c r="A72" s="383" t="str">
        <f aca="true">IF(Build!CH621,OFFSET(Build!CE$616,Build!CH621,0)," ")</f>
        <v>Patterned Shirt</v>
      </c>
      <c r="B72" s="383"/>
      <c r="C72" s="383"/>
      <c r="D72" s="383"/>
      <c r="E72" s="383"/>
      <c r="F72" s="383"/>
      <c r="G72" s="383"/>
      <c r="H72" s="383"/>
      <c r="I72" s="436" t="str">
        <f aca="true">IF(Build!CH621,OFFSET(Build!CF$616,Build!CH621,0)," ")</f>
        <v> </v>
      </c>
      <c r="J72" s="436"/>
      <c r="K72" s="375" t="str">
        <f aca="true">IF(Build!CH629,OFFSET(Build!CE$616,Build!CH629,0)," ")</f>
        <v>Paper (5)</v>
      </c>
      <c r="L72" s="375"/>
      <c r="M72" s="375"/>
      <c r="N72" s="375"/>
      <c r="O72" s="375"/>
      <c r="P72" s="375"/>
      <c r="Q72" s="375"/>
      <c r="R72" s="375"/>
      <c r="S72" s="358" t="n">
        <f aca="true">IF(Build!CH629,OFFSET(Build!CF$616,Build!CH629,0)," ")</f>
        <v>0</v>
      </c>
      <c r="T72" s="358"/>
      <c r="U72" s="375" t="str">
        <f aca="true">IF(Build!CH637,OFFSET(Build!CE$616,Build!CH637,0)," ")</f>
        <v>Artisan tools for Sculpting</v>
      </c>
      <c r="V72" s="375"/>
      <c r="W72" s="375"/>
      <c r="X72" s="375"/>
      <c r="Y72" s="375"/>
      <c r="Z72" s="375"/>
      <c r="AA72" s="375"/>
      <c r="AB72" s="375"/>
      <c r="AC72" s="358" t="n">
        <f aca="true">IF(Build!CH637,OFFSET(Build!CF$616,Build!CH637,0)," ")</f>
        <v>3</v>
      </c>
      <c r="AD72" s="358"/>
      <c r="AE72" s="375" t="str">
        <f aca="true">IF(Build!CH645,OFFSET(Build!CE$616,Build!CH645,0)," ")</f>
        <v> </v>
      </c>
      <c r="AF72" s="375"/>
      <c r="AG72" s="375"/>
      <c r="AH72" s="375"/>
      <c r="AI72" s="375"/>
      <c r="AJ72" s="375"/>
      <c r="AK72" s="375"/>
      <c r="AL72" s="411" t="str">
        <f aca="true">IF(Build!CH645,OFFSET(Build!CF$616,Build!CH645,0)," ")</f>
        <v> </v>
      </c>
      <c r="AM72" s="411"/>
    </row>
    <row r="73" customFormat="false" ht="9.75" hidden="false" customHeight="true" outlineLevel="0" collapsed="false">
      <c r="A73" s="383" t="str">
        <f aca="true">IF(Build!CH622,OFFSET(Build!CE$616,Build!CH622,0)," ")</f>
        <v>Scabbard</v>
      </c>
      <c r="B73" s="383"/>
      <c r="C73" s="383"/>
      <c r="D73" s="383"/>
      <c r="E73" s="383"/>
      <c r="F73" s="383"/>
      <c r="G73" s="383"/>
      <c r="H73" s="383"/>
      <c r="I73" s="436" t="str">
        <f aca="true">IF(Build!CH622,OFFSET(Build!CF$616,Build!CH622,0)," ")</f>
        <v> </v>
      </c>
      <c r="J73" s="436"/>
      <c r="K73" s="375" t="str">
        <f aca="true">IF(Build!CH630,OFFSET(Build!CE$616,Build!CH630,0)," ")</f>
        <v>Piton</v>
      </c>
      <c r="L73" s="375"/>
      <c r="M73" s="375"/>
      <c r="N73" s="375"/>
      <c r="O73" s="375"/>
      <c r="P73" s="375"/>
      <c r="Q73" s="375"/>
      <c r="R73" s="375"/>
      <c r="S73" s="358" t="n">
        <f aca="true">IF(Build!CH630,OFFSET(Build!CF$616,Build!CH630,0)," ")</f>
        <v>1</v>
      </c>
      <c r="T73" s="358"/>
      <c r="U73" s="375" t="str">
        <f aca="true">IF(Build!CH638,OFFSET(Build!CE$616,Build!CH638,0)," ")</f>
        <v>Booster Potion (3)</v>
      </c>
      <c r="V73" s="375"/>
      <c r="W73" s="375"/>
      <c r="X73" s="375"/>
      <c r="Y73" s="375"/>
      <c r="Z73" s="375"/>
      <c r="AA73" s="375"/>
      <c r="AB73" s="375"/>
      <c r="AC73" s="358" t="n">
        <f aca="true">IF(Build!CH638,OFFSET(Build!CF$616,Build!CH638,0)," ")</f>
        <v>6</v>
      </c>
      <c r="AD73" s="358"/>
      <c r="AE73" s="375" t="str">
        <f aca="true">IF(Build!CH646,OFFSET(Build!CE$616,Build!CH646,0)," ")</f>
        <v> </v>
      </c>
      <c r="AF73" s="375"/>
      <c r="AG73" s="375"/>
      <c r="AH73" s="375"/>
      <c r="AI73" s="375"/>
      <c r="AJ73" s="375"/>
      <c r="AK73" s="375"/>
      <c r="AL73" s="411" t="str">
        <f aca="true">IF(Build!CH646,OFFSET(Build!CF$616,Build!CH646,0)," ")</f>
        <v> </v>
      </c>
      <c r="AM73" s="411"/>
    </row>
    <row r="74" customFormat="false" ht="9.75" hidden="false" customHeight="true" outlineLevel="0" collapsed="false">
      <c r="A74" s="383" t="str">
        <f aca="true">IF(Build!CH623,OFFSET(Build!CE$616,Build!CH623,0)," ")</f>
        <v>Backpack</v>
      </c>
      <c r="B74" s="383"/>
      <c r="C74" s="383"/>
      <c r="D74" s="383"/>
      <c r="E74" s="383"/>
      <c r="F74" s="383"/>
      <c r="G74" s="383"/>
      <c r="H74" s="383"/>
      <c r="I74" s="436" t="n">
        <f aca="true">IF(Build!CH623,OFFSET(Build!CF$616,Build!CH623,0)," ")</f>
        <v>3</v>
      </c>
      <c r="J74" s="436"/>
      <c r="K74" s="375" t="str">
        <f aca="true">IF(Build!CH631,OFFSET(Build!CE$616,Build!CH631,0)," ")</f>
        <v>Quill-pen</v>
      </c>
      <c r="L74" s="375"/>
      <c r="M74" s="375"/>
      <c r="N74" s="375"/>
      <c r="O74" s="375"/>
      <c r="P74" s="375"/>
      <c r="Q74" s="375"/>
      <c r="R74" s="375"/>
      <c r="S74" s="358" t="n">
        <f aca="true">IF(Build!CH631,OFFSET(Build!CF$616,Build!CH631,0)," ")</f>
        <v>0</v>
      </c>
      <c r="T74" s="358"/>
      <c r="U74" s="375" t="str">
        <f aca="true">IF(Build!CH639,OFFSET(Build!CE$616,Build!CH639,0)," ")</f>
        <v>Kelia's Antidote</v>
      </c>
      <c r="V74" s="375"/>
      <c r="W74" s="375"/>
      <c r="X74" s="375"/>
      <c r="Y74" s="375"/>
      <c r="Z74" s="375"/>
      <c r="AA74" s="375"/>
      <c r="AB74" s="375"/>
      <c r="AC74" s="358" t="n">
        <f aca="true">IF(Build!CH639,OFFSET(Build!CF$616,Build!CH639,0)," ")</f>
        <v>2</v>
      </c>
      <c r="AD74" s="358"/>
      <c r="AE74" s="375" t="str">
        <f aca="false">IF(Build!Y389&lt;&gt;"",Build!Y389,"Weapons and Armor")</f>
        <v>Weapons and Armor</v>
      </c>
      <c r="AF74" s="375"/>
      <c r="AG74" s="375"/>
      <c r="AH74" s="375"/>
      <c r="AI74" s="375"/>
      <c r="AJ74" s="375"/>
      <c r="AK74" s="375"/>
      <c r="AL74" s="455" t="n">
        <f aca="false">IF(OR(Build!Y389&lt;&gt;"",Build!AE389&lt;&gt;0),Build!AE389,SUM(AL10:AM13)+SUM(Front!AL55:AM60))</f>
        <v>39</v>
      </c>
      <c r="AM74" s="455"/>
    </row>
    <row r="75" customFormat="false" ht="9.75" hidden="false" customHeight="true" outlineLevel="0" collapsed="false">
      <c r="A75" s="456" t="str">
        <f aca="true">IF(Build!CH624,OFFSET(Build!CE$616,Build!CH624,0)," ")</f>
        <v>Bedroll</v>
      </c>
      <c r="B75" s="456"/>
      <c r="C75" s="456"/>
      <c r="D75" s="456"/>
      <c r="E75" s="456"/>
      <c r="F75" s="456"/>
      <c r="G75" s="456"/>
      <c r="H75" s="456"/>
      <c r="I75" s="457" t="n">
        <f aca="true">IF(Build!CH624,OFFSET(Build!CF$616,Build!CH624,0)," ")</f>
        <v>4</v>
      </c>
      <c r="J75" s="457"/>
      <c r="K75" s="458" t="str">
        <f aca="true">IF(Build!CH632,OFFSET(Build!CE$616,Build!CH632,0)," ")</f>
        <v>Small Sack (2)</v>
      </c>
      <c r="L75" s="458"/>
      <c r="M75" s="458"/>
      <c r="N75" s="458"/>
      <c r="O75" s="458"/>
      <c r="P75" s="458"/>
      <c r="Q75" s="458"/>
      <c r="R75" s="458"/>
      <c r="S75" s="459" t="n">
        <f aca="true">IF(Build!CH632,OFFSET(Build!CF$616,Build!CH632,0)," ")</f>
        <v>2</v>
      </c>
      <c r="T75" s="459"/>
      <c r="U75" s="458" t="str">
        <f aca="true">IF(Build!CH640,OFFSET(Build!CE$616,Build!CH640,0)," ")</f>
        <v>Last Chance Salve</v>
      </c>
      <c r="V75" s="458"/>
      <c r="W75" s="458"/>
      <c r="X75" s="458"/>
      <c r="Y75" s="458"/>
      <c r="Z75" s="458"/>
      <c r="AA75" s="458"/>
      <c r="AB75" s="458"/>
      <c r="AC75" s="459" t="n">
        <f aca="true">IF(Build!CH640,OFFSET(Build!CF$616,Build!CH640,0)," ")</f>
        <v>1</v>
      </c>
      <c r="AD75" s="459"/>
      <c r="AE75" s="460" t="str">
        <f aca="false">IF(Build!Y390&lt;&gt;"",Build!Y390,"Total weight of everything")</f>
        <v>Total weight of everything</v>
      </c>
      <c r="AF75" s="460"/>
      <c r="AG75" s="460"/>
      <c r="AH75" s="460"/>
      <c r="AI75" s="460"/>
      <c r="AJ75" s="460"/>
      <c r="AK75" s="460"/>
      <c r="AL75" s="461" t="n">
        <f aca="false">IF(OR(Build!Y390&lt;&gt;"",Build!AE390&lt;&gt;0),Build!AE390,SUM(I68:J75)+SUM(S68:T75)+SUM(AC68:AD75)+SUM(AL68:AM74)+SUM(AL61:AM65)+F56)</f>
        <v>109.4375</v>
      </c>
      <c r="AM75" s="461"/>
    </row>
  </sheetData>
  <mergeCells count="548">
    <mergeCell ref="A1:L1"/>
    <mergeCell ref="M1:Z1"/>
    <mergeCell ref="AA1:AM1"/>
    <mergeCell ref="A2:L2"/>
    <mergeCell ref="M2:S2"/>
    <mergeCell ref="T2:Z2"/>
    <mergeCell ref="AA2:AM2"/>
    <mergeCell ref="A3:L3"/>
    <mergeCell ref="M3:S3"/>
    <mergeCell ref="T3:Z3"/>
    <mergeCell ref="AA3:AM3"/>
    <mergeCell ref="A4:L4"/>
    <mergeCell ref="M4:S4"/>
    <mergeCell ref="T4:Z4"/>
    <mergeCell ref="AA4:AM4"/>
    <mergeCell ref="A5:J5"/>
    <mergeCell ref="K5:L5"/>
    <mergeCell ref="M5:S5"/>
    <mergeCell ref="T5:Z5"/>
    <mergeCell ref="AA5:AM5"/>
    <mergeCell ref="A6:J6"/>
    <mergeCell ref="K6:L6"/>
    <mergeCell ref="M6:S6"/>
    <mergeCell ref="T6:Z6"/>
    <mergeCell ref="AA6:AM6"/>
    <mergeCell ref="A7:J7"/>
    <mergeCell ref="K7:L7"/>
    <mergeCell ref="M7:S7"/>
    <mergeCell ref="T7:Z7"/>
    <mergeCell ref="AA7:AM7"/>
    <mergeCell ref="A8:J8"/>
    <mergeCell ref="K8:L8"/>
    <mergeCell ref="M8:S8"/>
    <mergeCell ref="T8:Z8"/>
    <mergeCell ref="AA8:AM8"/>
    <mergeCell ref="A9:J9"/>
    <mergeCell ref="K9:L9"/>
    <mergeCell ref="M9:S9"/>
    <mergeCell ref="T9:Z9"/>
    <mergeCell ref="AA9:AH9"/>
    <mergeCell ref="AL9:AM9"/>
    <mergeCell ref="A10:J10"/>
    <mergeCell ref="K10:L10"/>
    <mergeCell ref="M10:S10"/>
    <mergeCell ref="T10:Z10"/>
    <mergeCell ref="AA10:AH10"/>
    <mergeCell ref="AL10:AM10"/>
    <mergeCell ref="A11:J11"/>
    <mergeCell ref="K11:L11"/>
    <mergeCell ref="M11:S11"/>
    <mergeCell ref="T11:Z11"/>
    <mergeCell ref="AA11:AH11"/>
    <mergeCell ref="AL11:AM11"/>
    <mergeCell ref="A12:J12"/>
    <mergeCell ref="K12:L12"/>
    <mergeCell ref="M12:S12"/>
    <mergeCell ref="T12:Z12"/>
    <mergeCell ref="AA12:AH12"/>
    <mergeCell ref="AL12:AM12"/>
    <mergeCell ref="A13:J13"/>
    <mergeCell ref="K13:L13"/>
    <mergeCell ref="M13:S13"/>
    <mergeCell ref="T13:Z13"/>
    <mergeCell ref="AA13:AH13"/>
    <mergeCell ref="AL13:AM13"/>
    <mergeCell ref="A14:L14"/>
    <mergeCell ref="M14:AM14"/>
    <mergeCell ref="A15:H15"/>
    <mergeCell ref="I15:J15"/>
    <mergeCell ref="K15:L15"/>
    <mergeCell ref="M15:V15"/>
    <mergeCell ref="W15:AF15"/>
    <mergeCell ref="AG15:AH15"/>
    <mergeCell ref="AK15:AM15"/>
    <mergeCell ref="A16:H16"/>
    <mergeCell ref="I16:J16"/>
    <mergeCell ref="K16:L16"/>
    <mergeCell ref="M16:V16"/>
    <mergeCell ref="W16:AF16"/>
    <mergeCell ref="AG16:AH16"/>
    <mergeCell ref="AI16:AJ16"/>
    <mergeCell ref="AK16:AM16"/>
    <mergeCell ref="A17:H17"/>
    <mergeCell ref="I17:J17"/>
    <mergeCell ref="K17:L17"/>
    <mergeCell ref="M17:V17"/>
    <mergeCell ref="W17:AF17"/>
    <mergeCell ref="AG17:AH17"/>
    <mergeCell ref="AI17:AJ17"/>
    <mergeCell ref="AK17:AM17"/>
    <mergeCell ref="A18:H18"/>
    <mergeCell ref="I18:J18"/>
    <mergeCell ref="K18:L18"/>
    <mergeCell ref="M18:V18"/>
    <mergeCell ref="W18:AF18"/>
    <mergeCell ref="AG18:AH18"/>
    <mergeCell ref="AI18:AJ18"/>
    <mergeCell ref="AK18:AM18"/>
    <mergeCell ref="A19:H19"/>
    <mergeCell ref="I19:J19"/>
    <mergeCell ref="K19:L19"/>
    <mergeCell ref="M19:V19"/>
    <mergeCell ref="W19:AF19"/>
    <mergeCell ref="AG19:AH19"/>
    <mergeCell ref="AI19:AJ19"/>
    <mergeCell ref="AK19:AM19"/>
    <mergeCell ref="A20:H20"/>
    <mergeCell ref="I20:J20"/>
    <mergeCell ref="K20:L20"/>
    <mergeCell ref="M20:V20"/>
    <mergeCell ref="W20:AF20"/>
    <mergeCell ref="AG20:AH20"/>
    <mergeCell ref="AI20:AJ20"/>
    <mergeCell ref="AK20:AM20"/>
    <mergeCell ref="A21:H21"/>
    <mergeCell ref="I21:J21"/>
    <mergeCell ref="K21:L21"/>
    <mergeCell ref="M21:V21"/>
    <mergeCell ref="W21:AF21"/>
    <mergeCell ref="AG21:AH21"/>
    <mergeCell ref="AI21:AJ21"/>
    <mergeCell ref="AK21:AM21"/>
    <mergeCell ref="A22:L22"/>
    <mergeCell ref="M22:V22"/>
    <mergeCell ref="W22:AF22"/>
    <mergeCell ref="AG22:AH22"/>
    <mergeCell ref="AI22:AJ22"/>
    <mergeCell ref="AK22:AM22"/>
    <mergeCell ref="A23:J23"/>
    <mergeCell ref="K23:L23"/>
    <mergeCell ref="M23:V23"/>
    <mergeCell ref="W23:AF23"/>
    <mergeCell ref="AG23:AH23"/>
    <mergeCell ref="AI23:AJ23"/>
    <mergeCell ref="AK23:AM23"/>
    <mergeCell ref="A24:J24"/>
    <mergeCell ref="K24:L24"/>
    <mergeCell ref="M24:V24"/>
    <mergeCell ref="W24:AF24"/>
    <mergeCell ref="AG24:AH24"/>
    <mergeCell ref="AI24:AJ24"/>
    <mergeCell ref="AK24:AM24"/>
    <mergeCell ref="A25:J25"/>
    <mergeCell ref="K25:L25"/>
    <mergeCell ref="M25:V25"/>
    <mergeCell ref="W25:AF25"/>
    <mergeCell ref="AG25:AH25"/>
    <mergeCell ref="AI25:AJ25"/>
    <mergeCell ref="AK25:AM25"/>
    <mergeCell ref="A26:J26"/>
    <mergeCell ref="K26:L26"/>
    <mergeCell ref="M26:AM26"/>
    <mergeCell ref="A27:J27"/>
    <mergeCell ref="K27:L27"/>
    <mergeCell ref="M27:X27"/>
    <mergeCell ref="Y27:Z27"/>
    <mergeCell ref="AA27:AC27"/>
    <mergeCell ref="AD27:AE27"/>
    <mergeCell ref="AF27:AI27"/>
    <mergeCell ref="AJ27:AK27"/>
    <mergeCell ref="AL27:AM27"/>
    <mergeCell ref="A28:J28"/>
    <mergeCell ref="K28:L28"/>
    <mergeCell ref="M28:X28"/>
    <mergeCell ref="Y28:Z28"/>
    <mergeCell ref="AA28:AC28"/>
    <mergeCell ref="AD28:AE28"/>
    <mergeCell ref="AF28:AI28"/>
    <mergeCell ref="AJ28:AK28"/>
    <mergeCell ref="AL28:AM28"/>
    <mergeCell ref="A29:J29"/>
    <mergeCell ref="K29:L29"/>
    <mergeCell ref="M29:X29"/>
    <mergeCell ref="Y29:Z29"/>
    <mergeCell ref="AA29:AC29"/>
    <mergeCell ref="AD29:AE29"/>
    <mergeCell ref="AF29:AI29"/>
    <mergeCell ref="AJ29:AK29"/>
    <mergeCell ref="AL29:AM29"/>
    <mergeCell ref="A30:J30"/>
    <mergeCell ref="K30:L30"/>
    <mergeCell ref="M30:X30"/>
    <mergeCell ref="Y30:Z30"/>
    <mergeCell ref="AA30:AC30"/>
    <mergeCell ref="AD30:AE30"/>
    <mergeCell ref="AF30:AI30"/>
    <mergeCell ref="AJ30:AK30"/>
    <mergeCell ref="AL30:AM30"/>
    <mergeCell ref="A31:J31"/>
    <mergeCell ref="K31:L31"/>
    <mergeCell ref="M31:X31"/>
    <mergeCell ref="Y31:Z31"/>
    <mergeCell ref="AA31:AC31"/>
    <mergeCell ref="AD31:AE31"/>
    <mergeCell ref="AF31:AI31"/>
    <mergeCell ref="AJ31:AK31"/>
    <mergeCell ref="AL31:AM31"/>
    <mergeCell ref="A32:J32"/>
    <mergeCell ref="K32:L32"/>
    <mergeCell ref="M32:X32"/>
    <mergeCell ref="Y32:Z32"/>
    <mergeCell ref="AA32:AC32"/>
    <mergeCell ref="AD32:AE32"/>
    <mergeCell ref="AF32:AI32"/>
    <mergeCell ref="AJ32:AK32"/>
    <mergeCell ref="AL32:AM32"/>
    <mergeCell ref="A33:J33"/>
    <mergeCell ref="K33:L33"/>
    <mergeCell ref="M33:X33"/>
    <mergeCell ref="Y33:Z33"/>
    <mergeCell ref="AA33:AC33"/>
    <mergeCell ref="AD33:AE33"/>
    <mergeCell ref="AF33:AI33"/>
    <mergeCell ref="AJ33:AK33"/>
    <mergeCell ref="AL33:AM33"/>
    <mergeCell ref="A34:J34"/>
    <mergeCell ref="K34:L34"/>
    <mergeCell ref="M34:X34"/>
    <mergeCell ref="Y34:Z34"/>
    <mergeCell ref="AA34:AC34"/>
    <mergeCell ref="AD34:AE34"/>
    <mergeCell ref="AF34:AI34"/>
    <mergeCell ref="AJ34:AK34"/>
    <mergeCell ref="AL34:AM34"/>
    <mergeCell ref="A35:J35"/>
    <mergeCell ref="K35:L35"/>
    <mergeCell ref="M35:X35"/>
    <mergeCell ref="Y35:Z35"/>
    <mergeCell ref="AA35:AC35"/>
    <mergeCell ref="AD35:AE35"/>
    <mergeCell ref="AF35:AI35"/>
    <mergeCell ref="AJ35:AK35"/>
    <mergeCell ref="AL35:AM35"/>
    <mergeCell ref="A36:J36"/>
    <mergeCell ref="K36:L36"/>
    <mergeCell ref="M36:X36"/>
    <mergeCell ref="Y36:Z36"/>
    <mergeCell ref="AA36:AC36"/>
    <mergeCell ref="AD36:AE36"/>
    <mergeCell ref="AF36:AI36"/>
    <mergeCell ref="AJ36:AK36"/>
    <mergeCell ref="AL36:AM36"/>
    <mergeCell ref="A37:J37"/>
    <mergeCell ref="K37:L37"/>
    <mergeCell ref="M37:X37"/>
    <mergeCell ref="Y37:Z37"/>
    <mergeCell ref="AA37:AC37"/>
    <mergeCell ref="AD37:AE37"/>
    <mergeCell ref="AF37:AI37"/>
    <mergeCell ref="AJ37:AK37"/>
    <mergeCell ref="AL37:AM37"/>
    <mergeCell ref="A38:J38"/>
    <mergeCell ref="K38:L38"/>
    <mergeCell ref="M38:X38"/>
    <mergeCell ref="Y38:Z38"/>
    <mergeCell ref="AA38:AC38"/>
    <mergeCell ref="AD38:AE38"/>
    <mergeCell ref="AF38:AI38"/>
    <mergeCell ref="AJ38:AK38"/>
    <mergeCell ref="AL38:AM38"/>
    <mergeCell ref="A39:J39"/>
    <mergeCell ref="K39:L39"/>
    <mergeCell ref="M39:X39"/>
    <mergeCell ref="Y39:Z39"/>
    <mergeCell ref="AA39:AC39"/>
    <mergeCell ref="AD39:AE39"/>
    <mergeCell ref="AF39:AI39"/>
    <mergeCell ref="AJ39:AK39"/>
    <mergeCell ref="AL39:AM39"/>
    <mergeCell ref="A40:J40"/>
    <mergeCell ref="K40:L40"/>
    <mergeCell ref="M40:X40"/>
    <mergeCell ref="Y40:Z40"/>
    <mergeCell ref="AA40:AC40"/>
    <mergeCell ref="AD40:AE40"/>
    <mergeCell ref="AF40:AI40"/>
    <mergeCell ref="AJ40:AK40"/>
    <mergeCell ref="AL40:AM40"/>
    <mergeCell ref="A41:J41"/>
    <mergeCell ref="K41:L41"/>
    <mergeCell ref="M41:X41"/>
    <mergeCell ref="Y41:Z41"/>
    <mergeCell ref="AA41:AC41"/>
    <mergeCell ref="AD41:AE41"/>
    <mergeCell ref="AF41:AI41"/>
    <mergeCell ref="AJ41:AK41"/>
    <mergeCell ref="AL41:AM41"/>
    <mergeCell ref="A42:J42"/>
    <mergeCell ref="K42:L42"/>
    <mergeCell ref="M42:X42"/>
    <mergeCell ref="Y42:Z42"/>
    <mergeCell ref="AA42:AC42"/>
    <mergeCell ref="AD42:AE42"/>
    <mergeCell ref="AF42:AI42"/>
    <mergeCell ref="AJ42:AK42"/>
    <mergeCell ref="AL42:AM42"/>
    <mergeCell ref="A43:J43"/>
    <mergeCell ref="K43:L43"/>
    <mergeCell ref="M43:X43"/>
    <mergeCell ref="Y43:Z43"/>
    <mergeCell ref="AA43:AC43"/>
    <mergeCell ref="AD43:AE43"/>
    <mergeCell ref="AF43:AI43"/>
    <mergeCell ref="AJ43:AK43"/>
    <mergeCell ref="AL43:AM43"/>
    <mergeCell ref="A44:J44"/>
    <mergeCell ref="K44:L44"/>
    <mergeCell ref="M44:X44"/>
    <mergeCell ref="Y44:Z44"/>
    <mergeCell ref="AA44:AC44"/>
    <mergeCell ref="AD44:AE44"/>
    <mergeCell ref="AF44:AI44"/>
    <mergeCell ref="AJ44:AK44"/>
    <mergeCell ref="AL44:AM44"/>
    <mergeCell ref="A45:J45"/>
    <mergeCell ref="K45:L45"/>
    <mergeCell ref="M45:X45"/>
    <mergeCell ref="Y45:Z45"/>
    <mergeCell ref="AA45:AC45"/>
    <mergeCell ref="AD45:AE45"/>
    <mergeCell ref="AF45:AI45"/>
    <mergeCell ref="AJ45:AK45"/>
    <mergeCell ref="AL45:AM45"/>
    <mergeCell ref="A46:J46"/>
    <mergeCell ref="K46:L46"/>
    <mergeCell ref="M46:X46"/>
    <mergeCell ref="Y46:Z46"/>
    <mergeCell ref="AA46:AC46"/>
    <mergeCell ref="AD46:AE46"/>
    <mergeCell ref="AF46:AI46"/>
    <mergeCell ref="AJ46:AK46"/>
    <mergeCell ref="AL46:AM46"/>
    <mergeCell ref="A47:G47"/>
    <mergeCell ref="H47:AM47"/>
    <mergeCell ref="A48:C48"/>
    <mergeCell ref="D48:E48"/>
    <mergeCell ref="F48:G48"/>
    <mergeCell ref="H48:S48"/>
    <mergeCell ref="T48:V48"/>
    <mergeCell ref="W48:Y48"/>
    <mergeCell ref="Z48:AA48"/>
    <mergeCell ref="AB48:AG48"/>
    <mergeCell ref="AH48:AI48"/>
    <mergeCell ref="AJ48:AK48"/>
    <mergeCell ref="AL48:AM48"/>
    <mergeCell ref="A49:C49"/>
    <mergeCell ref="D49:E49"/>
    <mergeCell ref="F49:G49"/>
    <mergeCell ref="H49:S49"/>
    <mergeCell ref="T49:V49"/>
    <mergeCell ref="W49:Y49"/>
    <mergeCell ref="Z49:AA49"/>
    <mergeCell ref="AB49:AG49"/>
    <mergeCell ref="AH49:AI49"/>
    <mergeCell ref="AJ49:AK49"/>
    <mergeCell ref="AL49:AM49"/>
    <mergeCell ref="A50:C50"/>
    <mergeCell ref="D50:E50"/>
    <mergeCell ref="F50:G50"/>
    <mergeCell ref="H50:S50"/>
    <mergeCell ref="T50:V50"/>
    <mergeCell ref="W50:Y50"/>
    <mergeCell ref="Z50:AA50"/>
    <mergeCell ref="AB50:AG50"/>
    <mergeCell ref="AH50:AI50"/>
    <mergeCell ref="AJ50:AK50"/>
    <mergeCell ref="AL50:AM50"/>
    <mergeCell ref="A51:C51"/>
    <mergeCell ref="D51:E51"/>
    <mergeCell ref="F51:G51"/>
    <mergeCell ref="H51:S51"/>
    <mergeCell ref="T51:V51"/>
    <mergeCell ref="W51:Y51"/>
    <mergeCell ref="Z51:AA51"/>
    <mergeCell ref="AB51:AG51"/>
    <mergeCell ref="AH51:AI51"/>
    <mergeCell ref="AJ51:AK51"/>
    <mergeCell ref="AL51:AM51"/>
    <mergeCell ref="A52:C52"/>
    <mergeCell ref="D52:E52"/>
    <mergeCell ref="F52:G52"/>
    <mergeCell ref="H52:S52"/>
    <mergeCell ref="T52:V52"/>
    <mergeCell ref="W52:Y52"/>
    <mergeCell ref="Z52:AA52"/>
    <mergeCell ref="AB52:AG52"/>
    <mergeCell ref="AH52:AI52"/>
    <mergeCell ref="AJ52:AK52"/>
    <mergeCell ref="AL52:AM52"/>
    <mergeCell ref="A53:C53"/>
    <mergeCell ref="D53:E53"/>
    <mergeCell ref="F53:G53"/>
    <mergeCell ref="H53:S53"/>
    <mergeCell ref="T53:V53"/>
    <mergeCell ref="W53:Y53"/>
    <mergeCell ref="Z53:AA53"/>
    <mergeCell ref="AB53:AG53"/>
    <mergeCell ref="AH53:AI53"/>
    <mergeCell ref="AJ53:AK53"/>
    <mergeCell ref="AL53:AM53"/>
    <mergeCell ref="A54:C54"/>
    <mergeCell ref="D54:E54"/>
    <mergeCell ref="F54:G54"/>
    <mergeCell ref="H54:S54"/>
    <mergeCell ref="T54:V54"/>
    <mergeCell ref="W54:Y54"/>
    <mergeCell ref="Z54:AA54"/>
    <mergeCell ref="AB54:AG54"/>
    <mergeCell ref="AH54:AI54"/>
    <mergeCell ref="AJ54:AK54"/>
    <mergeCell ref="AL54:AM54"/>
    <mergeCell ref="A55:C55"/>
    <mergeCell ref="D55:E55"/>
    <mergeCell ref="F55:G55"/>
    <mergeCell ref="H55:S55"/>
    <mergeCell ref="T55:V55"/>
    <mergeCell ref="W55:Y55"/>
    <mergeCell ref="Z55:AA55"/>
    <mergeCell ref="AB55:AG55"/>
    <mergeCell ref="AH55:AI55"/>
    <mergeCell ref="AJ55:AK55"/>
    <mergeCell ref="AL55:AM55"/>
    <mergeCell ref="A56:E56"/>
    <mergeCell ref="F56:G56"/>
    <mergeCell ref="H56:S56"/>
    <mergeCell ref="T56:V56"/>
    <mergeCell ref="W56:Y56"/>
    <mergeCell ref="Z56:AA56"/>
    <mergeCell ref="AB56:AG56"/>
    <mergeCell ref="AH56:AI56"/>
    <mergeCell ref="AJ56:AK56"/>
    <mergeCell ref="AL56:AM56"/>
    <mergeCell ref="A57:G57"/>
    <mergeCell ref="H57:S57"/>
    <mergeCell ref="T57:V57"/>
    <mergeCell ref="W57:Y57"/>
    <mergeCell ref="Z57:AA57"/>
    <mergeCell ref="AB57:AG57"/>
    <mergeCell ref="AH57:AI57"/>
    <mergeCell ref="AJ57:AK57"/>
    <mergeCell ref="AL57:AM57"/>
    <mergeCell ref="A58:G58"/>
    <mergeCell ref="H58:S58"/>
    <mergeCell ref="T58:V58"/>
    <mergeCell ref="W58:Y58"/>
    <mergeCell ref="Z58:AA58"/>
    <mergeCell ref="AB58:AG58"/>
    <mergeCell ref="AH58:AI58"/>
    <mergeCell ref="AJ58:AK58"/>
    <mergeCell ref="AL58:AM58"/>
    <mergeCell ref="A59:AM59"/>
    <mergeCell ref="A60:J60"/>
    <mergeCell ref="K60:AH60"/>
    <mergeCell ref="AI60:AK60"/>
    <mergeCell ref="AL60:AM60"/>
    <mergeCell ref="A61:J61"/>
    <mergeCell ref="K61:AH61"/>
    <mergeCell ref="AI61:AK61"/>
    <mergeCell ref="AL61:AM61"/>
    <mergeCell ref="A62:J62"/>
    <mergeCell ref="K62:AH62"/>
    <mergeCell ref="AI62:AK62"/>
    <mergeCell ref="AL62:AM62"/>
    <mergeCell ref="A63:J63"/>
    <mergeCell ref="K63:AH63"/>
    <mergeCell ref="AI63:AK63"/>
    <mergeCell ref="AL63:AM63"/>
    <mergeCell ref="A64:J64"/>
    <mergeCell ref="K64:AH64"/>
    <mergeCell ref="AI64:AK64"/>
    <mergeCell ref="AL64:AM64"/>
    <mergeCell ref="A65:J65"/>
    <mergeCell ref="K65:AH65"/>
    <mergeCell ref="AI65:AK65"/>
    <mergeCell ref="AL65:AM65"/>
    <mergeCell ref="A66:AM66"/>
    <mergeCell ref="A67:H67"/>
    <mergeCell ref="I67:J67"/>
    <mergeCell ref="K67:R67"/>
    <mergeCell ref="S67:T67"/>
    <mergeCell ref="U67:AB67"/>
    <mergeCell ref="AC67:AD67"/>
    <mergeCell ref="AE67:AK67"/>
    <mergeCell ref="AL67:AM67"/>
    <mergeCell ref="A68:H68"/>
    <mergeCell ref="I68:J68"/>
    <mergeCell ref="K68:R68"/>
    <mergeCell ref="S68:T68"/>
    <mergeCell ref="U68:AB68"/>
    <mergeCell ref="AC68:AD68"/>
    <mergeCell ref="AE68:AK68"/>
    <mergeCell ref="AL68:AM68"/>
    <mergeCell ref="A69:H69"/>
    <mergeCell ref="I69:J69"/>
    <mergeCell ref="K69:R69"/>
    <mergeCell ref="S69:T69"/>
    <mergeCell ref="U69:AB69"/>
    <mergeCell ref="AC69:AD69"/>
    <mergeCell ref="AE69:AK69"/>
    <mergeCell ref="AL69:AM69"/>
    <mergeCell ref="A70:H70"/>
    <mergeCell ref="I70:J70"/>
    <mergeCell ref="K70:R70"/>
    <mergeCell ref="S70:T70"/>
    <mergeCell ref="U70:AB70"/>
    <mergeCell ref="AC70:AD70"/>
    <mergeCell ref="AE70:AK70"/>
    <mergeCell ref="AL70:AM70"/>
    <mergeCell ref="A71:H71"/>
    <mergeCell ref="I71:J71"/>
    <mergeCell ref="K71:R71"/>
    <mergeCell ref="S71:T71"/>
    <mergeCell ref="U71:AB71"/>
    <mergeCell ref="AC71:AD71"/>
    <mergeCell ref="AE71:AK71"/>
    <mergeCell ref="AL71:AM71"/>
    <mergeCell ref="A72:H72"/>
    <mergeCell ref="I72:J72"/>
    <mergeCell ref="K72:R72"/>
    <mergeCell ref="S72:T72"/>
    <mergeCell ref="U72:AB72"/>
    <mergeCell ref="AC72:AD72"/>
    <mergeCell ref="AE72:AK72"/>
    <mergeCell ref="AL72:AM72"/>
    <mergeCell ref="A73:H73"/>
    <mergeCell ref="I73:J73"/>
    <mergeCell ref="K73:R73"/>
    <mergeCell ref="S73:T73"/>
    <mergeCell ref="U73:AB73"/>
    <mergeCell ref="AC73:AD73"/>
    <mergeCell ref="AE73:AK73"/>
    <mergeCell ref="AL73:AM73"/>
    <mergeCell ref="A74:H74"/>
    <mergeCell ref="I74:J74"/>
    <mergeCell ref="K74:R74"/>
    <mergeCell ref="S74:T74"/>
    <mergeCell ref="U74:AB74"/>
    <mergeCell ref="AC74:AD74"/>
    <mergeCell ref="AE74:AK74"/>
    <mergeCell ref="AL74:AM74"/>
    <mergeCell ref="A75:H75"/>
    <mergeCell ref="I75:J75"/>
    <mergeCell ref="K75:R75"/>
    <mergeCell ref="S75:T75"/>
    <mergeCell ref="U75:AB75"/>
    <mergeCell ref="AC75:AD75"/>
    <mergeCell ref="AE75:AK75"/>
    <mergeCell ref="AL75:AM7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N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5" activeCellId="0" sqref="A35"/>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1166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1167</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1168</v>
      </c>
      <c r="AL2" s="464"/>
      <c r="AM2" s="464"/>
    </row>
    <row r="3" customFormat="false" ht="11.1" hidden="false" customHeight="true" outlineLevel="0" collapsed="false">
      <c r="A3" s="465" t="s">
        <v>1169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row>
    <row r="4" customFormat="false" ht="11.1" hidden="false" customHeight="true" outlineLevel="0" collapsed="false">
      <c r="A4" s="380" t="s">
        <v>1170</v>
      </c>
      <c r="B4" s="380"/>
      <c r="C4" s="380"/>
      <c r="D4" s="380"/>
      <c r="E4" s="380"/>
      <c r="F4" s="380"/>
      <c r="G4" s="380"/>
      <c r="H4" s="380"/>
      <c r="I4" s="380"/>
      <c r="J4" s="380"/>
      <c r="K4" s="380"/>
      <c r="L4" s="380"/>
      <c r="M4" s="380"/>
      <c r="N4" s="380"/>
      <c r="O4" s="380"/>
      <c r="P4" s="380"/>
      <c r="Q4" s="380"/>
      <c r="R4" s="380"/>
      <c r="S4" s="380"/>
      <c r="T4" s="466" t="s">
        <v>801</v>
      </c>
      <c r="U4" s="466"/>
      <c r="V4" s="466"/>
      <c r="W4" s="466"/>
      <c r="X4" s="466"/>
      <c r="Y4" s="466"/>
      <c r="Z4" s="466"/>
      <c r="AA4" s="466"/>
      <c r="AB4" s="466"/>
      <c r="AC4" s="466"/>
      <c r="AD4" s="466"/>
      <c r="AE4" s="466"/>
      <c r="AF4" s="466"/>
      <c r="AG4" s="466"/>
      <c r="AH4" s="466"/>
      <c r="AI4" s="466"/>
      <c r="AJ4" s="466"/>
      <c r="AK4" s="466"/>
      <c r="AL4" s="466"/>
      <c r="AM4" s="466"/>
      <c r="AN4" s="210"/>
    </row>
    <row r="5" customFormat="false" ht="11.1" hidden="false" customHeight="true" outlineLevel="0" collapsed="false">
      <c r="A5" s="467" t="str">
        <f aca="false">IF(Build!D13&lt;&gt;0,Build!D13,"")</f>
        <v/>
      </c>
      <c r="B5" s="467"/>
      <c r="C5" s="467"/>
      <c r="D5" s="467"/>
      <c r="E5" s="467"/>
      <c r="F5" s="467"/>
      <c r="G5" s="467"/>
      <c r="H5" s="467"/>
      <c r="I5" s="467"/>
      <c r="J5" s="467"/>
      <c r="K5" s="467"/>
      <c r="L5" s="467"/>
      <c r="M5" s="467"/>
      <c r="N5" s="467"/>
      <c r="O5" s="467"/>
      <c r="P5" s="467"/>
      <c r="Q5" s="467"/>
      <c r="R5" s="467"/>
      <c r="S5" s="467"/>
      <c r="T5" s="468" t="str">
        <f aca="false">IF(Build!P332&lt;&gt;0,Build!P332,"")</f>
        <v/>
      </c>
      <c r="U5" s="468"/>
      <c r="V5" s="468"/>
      <c r="W5" s="468"/>
      <c r="X5" s="468"/>
      <c r="Y5" s="468"/>
      <c r="Z5" s="468"/>
      <c r="AA5" s="468"/>
      <c r="AB5" s="468"/>
      <c r="AC5" s="468"/>
      <c r="AD5" s="468"/>
      <c r="AE5" s="468"/>
      <c r="AF5" s="468"/>
      <c r="AG5" s="468"/>
      <c r="AH5" s="468"/>
      <c r="AI5" s="468"/>
      <c r="AJ5" s="468"/>
      <c r="AK5" s="468"/>
      <c r="AL5" s="468"/>
      <c r="AM5" s="468"/>
      <c r="AN5" s="210"/>
    </row>
    <row r="6" customFormat="false" ht="11.1" hidden="false" customHeight="true" outlineLevel="0" collapsed="false">
      <c r="A6" s="467"/>
      <c r="B6" s="467"/>
      <c r="C6" s="467"/>
      <c r="D6" s="467"/>
      <c r="E6" s="467"/>
      <c r="F6" s="467"/>
      <c r="G6" s="467"/>
      <c r="H6" s="467"/>
      <c r="I6" s="467"/>
      <c r="J6" s="467"/>
      <c r="K6" s="467"/>
      <c r="L6" s="467"/>
      <c r="M6" s="467"/>
      <c r="N6" s="467"/>
      <c r="O6" s="467"/>
      <c r="P6" s="467"/>
      <c r="Q6" s="467"/>
      <c r="R6" s="467"/>
      <c r="S6" s="467"/>
      <c r="T6" s="468"/>
      <c r="U6" s="468"/>
      <c r="V6" s="468"/>
      <c r="W6" s="468"/>
      <c r="X6" s="468"/>
      <c r="Y6" s="468"/>
      <c r="Z6" s="468"/>
      <c r="AA6" s="468"/>
      <c r="AB6" s="468"/>
      <c r="AC6" s="468"/>
      <c r="AD6" s="468"/>
      <c r="AE6" s="468"/>
      <c r="AF6" s="468"/>
      <c r="AG6" s="468"/>
      <c r="AH6" s="468"/>
      <c r="AI6" s="468"/>
      <c r="AJ6" s="468"/>
      <c r="AK6" s="468"/>
      <c r="AL6" s="468"/>
      <c r="AM6" s="468"/>
      <c r="AN6" s="210"/>
    </row>
    <row r="7" customFormat="false" ht="11.1" hidden="false" customHeight="true" outlineLevel="0" collapsed="false">
      <c r="A7" s="467"/>
      <c r="B7" s="467"/>
      <c r="C7" s="467"/>
      <c r="D7" s="467"/>
      <c r="E7" s="467"/>
      <c r="F7" s="467"/>
      <c r="G7" s="467"/>
      <c r="H7" s="467"/>
      <c r="I7" s="467"/>
      <c r="J7" s="467"/>
      <c r="K7" s="467"/>
      <c r="L7" s="467"/>
      <c r="M7" s="467"/>
      <c r="N7" s="467"/>
      <c r="O7" s="467"/>
      <c r="P7" s="467"/>
      <c r="Q7" s="467"/>
      <c r="R7" s="467"/>
      <c r="S7" s="467"/>
      <c r="T7" s="468"/>
      <c r="U7" s="468"/>
      <c r="V7" s="468"/>
      <c r="W7" s="468"/>
      <c r="X7" s="468"/>
      <c r="Y7" s="468"/>
      <c r="Z7" s="468"/>
      <c r="AA7" s="468"/>
      <c r="AB7" s="468"/>
      <c r="AC7" s="468"/>
      <c r="AD7" s="468"/>
      <c r="AE7" s="468"/>
      <c r="AF7" s="468"/>
      <c r="AG7" s="468"/>
      <c r="AH7" s="468"/>
      <c r="AI7" s="468"/>
      <c r="AJ7" s="468"/>
      <c r="AK7" s="468"/>
      <c r="AL7" s="468"/>
      <c r="AM7" s="468"/>
      <c r="AN7" s="210"/>
    </row>
    <row r="8" customFormat="false" ht="11.1" hidden="false" customHeight="true" outlineLevel="0" collapsed="false">
      <c r="A8" s="467"/>
      <c r="B8" s="467"/>
      <c r="C8" s="467"/>
      <c r="D8" s="467"/>
      <c r="E8" s="467"/>
      <c r="F8" s="467"/>
      <c r="G8" s="467"/>
      <c r="H8" s="467"/>
      <c r="I8" s="467"/>
      <c r="J8" s="467"/>
      <c r="K8" s="467"/>
      <c r="L8" s="467"/>
      <c r="M8" s="467"/>
      <c r="N8" s="467"/>
      <c r="O8" s="467"/>
      <c r="P8" s="467"/>
      <c r="Q8" s="467"/>
      <c r="R8" s="467"/>
      <c r="S8" s="467"/>
      <c r="T8" s="468"/>
      <c r="U8" s="468"/>
      <c r="V8" s="468"/>
      <c r="W8" s="468"/>
      <c r="X8" s="468"/>
      <c r="Y8" s="468"/>
      <c r="Z8" s="468"/>
      <c r="AA8" s="468"/>
      <c r="AB8" s="468"/>
      <c r="AC8" s="468"/>
      <c r="AD8" s="468"/>
      <c r="AE8" s="468"/>
      <c r="AF8" s="468"/>
      <c r="AG8" s="468"/>
      <c r="AH8" s="468"/>
      <c r="AI8" s="468"/>
      <c r="AJ8" s="468"/>
      <c r="AK8" s="468"/>
      <c r="AL8" s="468"/>
      <c r="AM8" s="468"/>
      <c r="AN8" s="210"/>
    </row>
    <row r="9" customFormat="false" ht="11.1" hidden="false" customHeight="true" outlineLevel="0" collapsed="false">
      <c r="A9" s="467"/>
      <c r="B9" s="467"/>
      <c r="C9" s="467"/>
      <c r="D9" s="467"/>
      <c r="E9" s="467"/>
      <c r="F9" s="467"/>
      <c r="G9" s="467"/>
      <c r="H9" s="467"/>
      <c r="I9" s="467"/>
      <c r="J9" s="467"/>
      <c r="K9" s="467"/>
      <c r="L9" s="467"/>
      <c r="M9" s="467"/>
      <c r="N9" s="467"/>
      <c r="O9" s="467"/>
      <c r="P9" s="467"/>
      <c r="Q9" s="467"/>
      <c r="R9" s="467"/>
      <c r="S9" s="467"/>
      <c r="T9" s="468"/>
      <c r="U9" s="468"/>
      <c r="V9" s="468"/>
      <c r="W9" s="468"/>
      <c r="X9" s="468"/>
      <c r="Y9" s="468"/>
      <c r="Z9" s="468"/>
      <c r="AA9" s="468"/>
      <c r="AB9" s="468"/>
      <c r="AC9" s="468"/>
      <c r="AD9" s="468"/>
      <c r="AE9" s="468"/>
      <c r="AF9" s="468"/>
      <c r="AG9" s="468"/>
      <c r="AH9" s="468"/>
      <c r="AI9" s="468"/>
      <c r="AJ9" s="468"/>
      <c r="AK9" s="468"/>
      <c r="AL9" s="468"/>
      <c r="AM9" s="468"/>
      <c r="AN9" s="210"/>
    </row>
    <row r="10" customFormat="false" ht="11.1" hidden="false" customHeight="true" outlineLevel="0" collapsed="false">
      <c r="A10" s="380" t="s">
        <v>1171</v>
      </c>
      <c r="B10" s="380"/>
      <c r="C10" s="380"/>
      <c r="D10" s="380"/>
      <c r="E10" s="380"/>
      <c r="F10" s="380"/>
      <c r="G10" s="380"/>
      <c r="H10" s="380"/>
      <c r="I10" s="380"/>
      <c r="J10" s="380"/>
      <c r="K10" s="380"/>
      <c r="L10" s="380"/>
      <c r="M10" s="380"/>
      <c r="N10" s="380"/>
      <c r="O10" s="380"/>
      <c r="P10" s="380"/>
      <c r="Q10" s="380"/>
      <c r="R10" s="380"/>
      <c r="S10" s="380"/>
      <c r="T10" s="466" t="s">
        <v>804</v>
      </c>
      <c r="U10" s="466"/>
      <c r="V10" s="466"/>
      <c r="W10" s="466"/>
      <c r="X10" s="466"/>
      <c r="Y10" s="466"/>
      <c r="Z10" s="466"/>
      <c r="AA10" s="466"/>
      <c r="AB10" s="466"/>
      <c r="AC10" s="466"/>
      <c r="AD10" s="466"/>
      <c r="AE10" s="466"/>
      <c r="AF10" s="466"/>
      <c r="AG10" s="466"/>
      <c r="AH10" s="466"/>
      <c r="AI10" s="466"/>
      <c r="AJ10" s="466"/>
      <c r="AK10" s="466"/>
      <c r="AL10" s="466"/>
      <c r="AM10" s="466"/>
      <c r="AN10" s="210"/>
    </row>
    <row r="11" customFormat="false" ht="11.1" hidden="false" customHeight="true" outlineLevel="0" collapsed="false">
      <c r="A11" s="467" t="str">
        <f aca="false">IF(Build!B327&lt;&gt;0,Build!B327,"")</f>
        <v/>
      </c>
      <c r="B11" s="467"/>
      <c r="C11" s="467"/>
      <c r="D11" s="467"/>
      <c r="E11" s="467"/>
      <c r="F11" s="467"/>
      <c r="G11" s="467"/>
      <c r="H11" s="467"/>
      <c r="I11" s="467"/>
      <c r="J11" s="467"/>
      <c r="K11" s="467"/>
      <c r="L11" s="467"/>
      <c r="M11" s="467"/>
      <c r="N11" s="467"/>
      <c r="O11" s="467"/>
      <c r="P11" s="467"/>
      <c r="Q11" s="467"/>
      <c r="R11" s="467"/>
      <c r="S11" s="467"/>
      <c r="T11" s="468" t="str">
        <f aca="false">IF(Build!P337&lt;&gt;0,Build!P337,"")</f>
        <v/>
      </c>
      <c r="U11" s="468"/>
      <c r="V11" s="468"/>
      <c r="W11" s="468"/>
      <c r="X11" s="468"/>
      <c r="Y11" s="468"/>
      <c r="Z11" s="468"/>
      <c r="AA11" s="468"/>
      <c r="AB11" s="468"/>
      <c r="AC11" s="468"/>
      <c r="AD11" s="468"/>
      <c r="AE11" s="468"/>
      <c r="AF11" s="468"/>
      <c r="AG11" s="468"/>
      <c r="AH11" s="468"/>
      <c r="AI11" s="468"/>
      <c r="AJ11" s="468"/>
      <c r="AK11" s="468"/>
      <c r="AL11" s="468"/>
      <c r="AM11" s="468"/>
      <c r="AN11" s="210"/>
    </row>
    <row r="12" customFormat="false" ht="11.1" hidden="false" customHeight="true" outlineLevel="0" collapsed="false">
      <c r="A12" s="467"/>
      <c r="B12" s="467"/>
      <c r="C12" s="467"/>
      <c r="D12" s="467"/>
      <c r="E12" s="467"/>
      <c r="F12" s="467"/>
      <c r="G12" s="467"/>
      <c r="H12" s="467"/>
      <c r="I12" s="467"/>
      <c r="J12" s="467"/>
      <c r="K12" s="467"/>
      <c r="L12" s="467"/>
      <c r="M12" s="467"/>
      <c r="N12" s="467"/>
      <c r="O12" s="467"/>
      <c r="P12" s="467"/>
      <c r="Q12" s="467"/>
      <c r="R12" s="467"/>
      <c r="S12" s="467"/>
      <c r="T12" s="468"/>
      <c r="U12" s="468"/>
      <c r="V12" s="468"/>
      <c r="W12" s="468"/>
      <c r="X12" s="468"/>
      <c r="Y12" s="468"/>
      <c r="Z12" s="468"/>
      <c r="AA12" s="468"/>
      <c r="AB12" s="468"/>
      <c r="AC12" s="468"/>
      <c r="AD12" s="468"/>
      <c r="AE12" s="468"/>
      <c r="AF12" s="468"/>
      <c r="AG12" s="468"/>
      <c r="AH12" s="468"/>
      <c r="AI12" s="468"/>
      <c r="AJ12" s="468"/>
      <c r="AK12" s="468"/>
      <c r="AL12" s="468"/>
      <c r="AM12" s="468"/>
      <c r="AN12" s="210"/>
    </row>
    <row r="13" customFormat="false" ht="11.1" hidden="false" customHeight="true" outlineLevel="0" collapsed="false">
      <c r="A13" s="467"/>
      <c r="B13" s="467"/>
      <c r="C13" s="467"/>
      <c r="D13" s="467"/>
      <c r="E13" s="467"/>
      <c r="F13" s="467"/>
      <c r="G13" s="467"/>
      <c r="H13" s="467"/>
      <c r="I13" s="467"/>
      <c r="J13" s="467"/>
      <c r="K13" s="467"/>
      <c r="L13" s="467"/>
      <c r="M13" s="467"/>
      <c r="N13" s="467"/>
      <c r="O13" s="467"/>
      <c r="P13" s="467"/>
      <c r="Q13" s="467"/>
      <c r="R13" s="467"/>
      <c r="S13" s="467"/>
      <c r="T13" s="468"/>
      <c r="U13" s="468"/>
      <c r="V13" s="468"/>
      <c r="W13" s="468"/>
      <c r="X13" s="468"/>
      <c r="Y13" s="468"/>
      <c r="Z13" s="468"/>
      <c r="AA13" s="468"/>
      <c r="AB13" s="468"/>
      <c r="AC13" s="468"/>
      <c r="AD13" s="468"/>
      <c r="AE13" s="468"/>
      <c r="AF13" s="468"/>
      <c r="AG13" s="468"/>
      <c r="AH13" s="468"/>
      <c r="AI13" s="468"/>
      <c r="AJ13" s="468"/>
      <c r="AK13" s="468"/>
      <c r="AL13" s="468"/>
      <c r="AM13" s="468"/>
      <c r="AN13" s="210"/>
    </row>
    <row r="14" customFormat="false" ht="11.1" hidden="false" customHeight="true" outlineLevel="0" collapsed="false">
      <c r="A14" s="467"/>
      <c r="B14" s="467"/>
      <c r="C14" s="467"/>
      <c r="D14" s="467"/>
      <c r="E14" s="467"/>
      <c r="F14" s="467"/>
      <c r="G14" s="467"/>
      <c r="H14" s="467"/>
      <c r="I14" s="467"/>
      <c r="J14" s="467"/>
      <c r="K14" s="467"/>
      <c r="L14" s="467"/>
      <c r="M14" s="467"/>
      <c r="N14" s="467"/>
      <c r="O14" s="467"/>
      <c r="P14" s="467"/>
      <c r="Q14" s="467"/>
      <c r="R14" s="467"/>
      <c r="S14" s="467"/>
      <c r="T14" s="468"/>
      <c r="U14" s="468"/>
      <c r="V14" s="468"/>
      <c r="W14" s="468"/>
      <c r="X14" s="468"/>
      <c r="Y14" s="468"/>
      <c r="Z14" s="468"/>
      <c r="AA14" s="468"/>
      <c r="AB14" s="468"/>
      <c r="AC14" s="468"/>
      <c r="AD14" s="468"/>
      <c r="AE14" s="468"/>
      <c r="AF14" s="468"/>
      <c r="AG14" s="468"/>
      <c r="AH14" s="468"/>
      <c r="AI14" s="468"/>
      <c r="AJ14" s="468"/>
      <c r="AK14" s="468"/>
      <c r="AL14" s="468"/>
      <c r="AM14" s="468"/>
      <c r="AN14" s="210"/>
    </row>
    <row r="15" customFormat="false" ht="11.1" hidden="false" customHeight="true" outlineLevel="0" collapsed="false">
      <c r="A15" s="467"/>
      <c r="B15" s="467"/>
      <c r="C15" s="467"/>
      <c r="D15" s="467"/>
      <c r="E15" s="467"/>
      <c r="F15" s="467"/>
      <c r="G15" s="467"/>
      <c r="H15" s="467"/>
      <c r="I15" s="467"/>
      <c r="J15" s="467"/>
      <c r="K15" s="467"/>
      <c r="L15" s="467"/>
      <c r="M15" s="467"/>
      <c r="N15" s="467"/>
      <c r="O15" s="467"/>
      <c r="P15" s="467"/>
      <c r="Q15" s="467"/>
      <c r="R15" s="467"/>
      <c r="S15" s="467"/>
      <c r="T15" s="468"/>
      <c r="U15" s="468"/>
      <c r="V15" s="468"/>
      <c r="W15" s="468"/>
      <c r="X15" s="468"/>
      <c r="Y15" s="468"/>
      <c r="Z15" s="468"/>
      <c r="AA15" s="468"/>
      <c r="AB15" s="468"/>
      <c r="AC15" s="468"/>
      <c r="AD15" s="468"/>
      <c r="AE15" s="468"/>
      <c r="AF15" s="468"/>
      <c r="AG15" s="468"/>
      <c r="AH15" s="468"/>
      <c r="AI15" s="468"/>
      <c r="AJ15" s="468"/>
      <c r="AK15" s="468"/>
      <c r="AL15" s="468"/>
      <c r="AM15" s="468"/>
      <c r="AN15" s="210"/>
    </row>
    <row r="16" customFormat="false" ht="11.1" hidden="false" customHeight="true" outlineLevel="0" collapsed="false">
      <c r="A16" s="467"/>
      <c r="B16" s="467"/>
      <c r="C16" s="467"/>
      <c r="D16" s="467"/>
      <c r="E16" s="467"/>
      <c r="F16" s="467"/>
      <c r="G16" s="467"/>
      <c r="H16" s="467"/>
      <c r="I16" s="467"/>
      <c r="J16" s="467"/>
      <c r="K16" s="467"/>
      <c r="L16" s="467"/>
      <c r="M16" s="467"/>
      <c r="N16" s="467"/>
      <c r="O16" s="467"/>
      <c r="P16" s="467"/>
      <c r="Q16" s="467"/>
      <c r="R16" s="467"/>
      <c r="S16" s="467"/>
      <c r="T16" s="466" t="s">
        <v>1172</v>
      </c>
      <c r="U16" s="466"/>
      <c r="V16" s="466"/>
      <c r="W16" s="466"/>
      <c r="X16" s="466"/>
      <c r="Y16" s="466"/>
      <c r="Z16" s="466"/>
      <c r="AA16" s="466"/>
      <c r="AB16" s="466"/>
      <c r="AC16" s="466"/>
      <c r="AD16" s="466"/>
      <c r="AE16" s="466"/>
      <c r="AF16" s="466"/>
      <c r="AG16" s="466"/>
      <c r="AH16" s="466"/>
      <c r="AI16" s="466"/>
      <c r="AJ16" s="466"/>
      <c r="AK16" s="466"/>
      <c r="AL16" s="466"/>
      <c r="AM16" s="466"/>
      <c r="AN16" s="210"/>
    </row>
    <row r="17" customFormat="false" ht="11.1" hidden="false" customHeight="true" outlineLevel="0" collapsed="false">
      <c r="A17" s="467"/>
      <c r="B17" s="467"/>
      <c r="C17" s="467"/>
      <c r="D17" s="467"/>
      <c r="E17" s="467"/>
      <c r="F17" s="467"/>
      <c r="G17" s="467"/>
      <c r="H17" s="467"/>
      <c r="I17" s="467"/>
      <c r="J17" s="467"/>
      <c r="K17" s="467"/>
      <c r="L17" s="467"/>
      <c r="M17" s="467"/>
      <c r="N17" s="467"/>
      <c r="O17" s="467"/>
      <c r="P17" s="467"/>
      <c r="Q17" s="467"/>
      <c r="R17" s="467"/>
      <c r="S17" s="467"/>
      <c r="T17" s="468" t="str">
        <f aca="false">IF(Build!P349&lt;&gt;0,Build!P349,"")</f>
        <v/>
      </c>
      <c r="U17" s="468"/>
      <c r="V17" s="468"/>
      <c r="W17" s="468"/>
      <c r="X17" s="468"/>
      <c r="Y17" s="468"/>
      <c r="Z17" s="468"/>
      <c r="AA17" s="468"/>
      <c r="AB17" s="468"/>
      <c r="AC17" s="468"/>
      <c r="AD17" s="468"/>
      <c r="AE17" s="468"/>
      <c r="AF17" s="468"/>
      <c r="AG17" s="468"/>
      <c r="AH17" s="468"/>
      <c r="AI17" s="468"/>
      <c r="AJ17" s="468"/>
      <c r="AK17" s="468"/>
      <c r="AL17" s="468"/>
      <c r="AM17" s="468"/>
      <c r="AN17" s="210"/>
    </row>
    <row r="18" customFormat="false" ht="11.1" hidden="false" customHeight="true" outlineLevel="0" collapsed="false">
      <c r="A18" s="469" t="s">
        <v>802</v>
      </c>
      <c r="B18" s="469"/>
      <c r="C18" s="469"/>
      <c r="D18" s="469"/>
      <c r="E18" s="469"/>
      <c r="F18" s="469"/>
      <c r="G18" s="469"/>
      <c r="H18" s="469"/>
      <c r="I18" s="469"/>
      <c r="J18" s="469"/>
      <c r="K18" s="469"/>
      <c r="L18" s="469"/>
      <c r="M18" s="469"/>
      <c r="N18" s="469"/>
      <c r="O18" s="469"/>
      <c r="P18" s="469"/>
      <c r="Q18" s="469"/>
      <c r="R18" s="469"/>
      <c r="S18" s="469"/>
      <c r="T18" s="468"/>
      <c r="U18" s="468"/>
      <c r="V18" s="468"/>
      <c r="W18" s="468"/>
      <c r="X18" s="468"/>
      <c r="Y18" s="468"/>
      <c r="Z18" s="468"/>
      <c r="AA18" s="468"/>
      <c r="AB18" s="468"/>
      <c r="AC18" s="468"/>
      <c r="AD18" s="468"/>
      <c r="AE18" s="468"/>
      <c r="AF18" s="468"/>
      <c r="AG18" s="468"/>
      <c r="AH18" s="468"/>
      <c r="AI18" s="468"/>
      <c r="AJ18" s="468"/>
      <c r="AK18" s="468"/>
      <c r="AL18" s="468"/>
      <c r="AM18" s="468"/>
      <c r="AN18" s="210"/>
    </row>
    <row r="19" customFormat="false" ht="11.1" hidden="false" customHeight="true" outlineLevel="0" collapsed="false">
      <c r="A19" s="467" t="str">
        <f aca="false">IF(Build!B333&lt;&gt;0,Build!B333,"")</f>
        <v/>
      </c>
      <c r="B19" s="467"/>
      <c r="C19" s="467"/>
      <c r="D19" s="467"/>
      <c r="E19" s="467"/>
      <c r="F19" s="467"/>
      <c r="G19" s="467"/>
      <c r="H19" s="467"/>
      <c r="I19" s="467"/>
      <c r="J19" s="467"/>
      <c r="K19" s="467"/>
      <c r="L19" s="467"/>
      <c r="M19" s="467"/>
      <c r="N19" s="467"/>
      <c r="O19" s="467"/>
      <c r="P19" s="467"/>
      <c r="Q19" s="467"/>
      <c r="R19" s="467"/>
      <c r="S19" s="467"/>
      <c r="T19" s="468"/>
      <c r="U19" s="468"/>
      <c r="V19" s="468"/>
      <c r="W19" s="468"/>
      <c r="X19" s="468"/>
      <c r="Y19" s="468"/>
      <c r="Z19" s="468"/>
      <c r="AA19" s="468"/>
      <c r="AB19" s="468"/>
      <c r="AC19" s="468"/>
      <c r="AD19" s="468"/>
      <c r="AE19" s="468"/>
      <c r="AF19" s="468"/>
      <c r="AG19" s="468"/>
      <c r="AH19" s="468"/>
      <c r="AI19" s="468"/>
      <c r="AJ19" s="468"/>
      <c r="AK19" s="468"/>
      <c r="AL19" s="468"/>
      <c r="AM19" s="468"/>
      <c r="AN19" s="210"/>
    </row>
    <row r="20" customFormat="false" ht="11.1" hidden="false" customHeight="true" outlineLevel="0" collapsed="false">
      <c r="A20" s="467"/>
      <c r="B20" s="467"/>
      <c r="C20" s="467"/>
      <c r="D20" s="467"/>
      <c r="E20" s="467"/>
      <c r="F20" s="467"/>
      <c r="G20" s="467"/>
      <c r="H20" s="467"/>
      <c r="I20" s="467"/>
      <c r="J20" s="467"/>
      <c r="K20" s="467"/>
      <c r="L20" s="467"/>
      <c r="M20" s="467"/>
      <c r="N20" s="467"/>
      <c r="O20" s="467"/>
      <c r="P20" s="467"/>
      <c r="Q20" s="467"/>
      <c r="R20" s="467"/>
      <c r="S20" s="467"/>
      <c r="T20" s="468"/>
      <c r="U20" s="468"/>
      <c r="V20" s="468"/>
      <c r="W20" s="468"/>
      <c r="X20" s="468"/>
      <c r="Y20" s="468"/>
      <c r="Z20" s="468"/>
      <c r="AA20" s="468"/>
      <c r="AB20" s="468"/>
      <c r="AC20" s="468"/>
      <c r="AD20" s="468"/>
      <c r="AE20" s="468"/>
      <c r="AF20" s="468"/>
      <c r="AG20" s="468"/>
      <c r="AH20" s="468"/>
      <c r="AI20" s="468"/>
      <c r="AJ20" s="468"/>
      <c r="AK20" s="468"/>
      <c r="AL20" s="468"/>
      <c r="AM20" s="468"/>
      <c r="AN20" s="210"/>
    </row>
    <row r="21" customFormat="false" ht="11.1" hidden="false" customHeight="true" outlineLevel="0" collapsed="false">
      <c r="A21" s="467"/>
      <c r="B21" s="467"/>
      <c r="C21" s="467"/>
      <c r="D21" s="467"/>
      <c r="E21" s="467"/>
      <c r="F21" s="467"/>
      <c r="G21" s="467"/>
      <c r="H21" s="467"/>
      <c r="I21" s="467"/>
      <c r="J21" s="467"/>
      <c r="K21" s="467"/>
      <c r="L21" s="467"/>
      <c r="M21" s="467"/>
      <c r="N21" s="467"/>
      <c r="O21" s="467"/>
      <c r="P21" s="467"/>
      <c r="Q21" s="467"/>
      <c r="R21" s="467"/>
      <c r="S21" s="467"/>
      <c r="T21" s="466" t="s">
        <v>805</v>
      </c>
      <c r="U21" s="466"/>
      <c r="V21" s="466"/>
      <c r="W21" s="466"/>
      <c r="X21" s="466"/>
      <c r="Y21" s="466"/>
      <c r="Z21" s="466"/>
      <c r="AA21" s="466"/>
      <c r="AB21" s="466"/>
      <c r="AC21" s="466"/>
      <c r="AD21" s="466"/>
      <c r="AE21" s="466"/>
      <c r="AF21" s="466"/>
      <c r="AG21" s="466"/>
      <c r="AH21" s="466"/>
      <c r="AI21" s="466"/>
      <c r="AJ21" s="466"/>
      <c r="AK21" s="466"/>
      <c r="AL21" s="466"/>
      <c r="AM21" s="466"/>
      <c r="AN21" s="210"/>
    </row>
    <row r="22" customFormat="false" ht="11.1" hidden="false" customHeight="true" outlineLevel="0" collapsed="false">
      <c r="A22" s="467"/>
      <c r="B22" s="467"/>
      <c r="C22" s="467"/>
      <c r="D22" s="467"/>
      <c r="E22" s="467"/>
      <c r="F22" s="467"/>
      <c r="G22" s="467"/>
      <c r="H22" s="467"/>
      <c r="I22" s="467"/>
      <c r="J22" s="467"/>
      <c r="K22" s="467"/>
      <c r="L22" s="467"/>
      <c r="M22" s="467"/>
      <c r="N22" s="467"/>
      <c r="O22" s="467"/>
      <c r="P22" s="467"/>
      <c r="Q22" s="467"/>
      <c r="R22" s="467"/>
      <c r="S22" s="467"/>
      <c r="T22" s="468" t="str">
        <f aca="false">IF(Build!P341&lt;&gt;0,Build!P341,"")</f>
        <v/>
      </c>
      <c r="U22" s="468"/>
      <c r="V22" s="468"/>
      <c r="W22" s="468"/>
      <c r="X22" s="468"/>
      <c r="Y22" s="468"/>
      <c r="Z22" s="468"/>
      <c r="AA22" s="468"/>
      <c r="AB22" s="468"/>
      <c r="AC22" s="468"/>
      <c r="AD22" s="468"/>
      <c r="AE22" s="468"/>
      <c r="AF22" s="468"/>
      <c r="AG22" s="468"/>
      <c r="AH22" s="468"/>
      <c r="AI22" s="468"/>
      <c r="AJ22" s="468"/>
      <c r="AK22" s="468"/>
      <c r="AL22" s="468"/>
      <c r="AM22" s="468"/>
      <c r="AN22" s="210"/>
    </row>
    <row r="23" customFormat="false" ht="11.1" hidden="false" customHeight="true" outlineLevel="0" collapsed="false">
      <c r="A23" s="467"/>
      <c r="B23" s="467"/>
      <c r="C23" s="467"/>
      <c r="D23" s="467"/>
      <c r="E23" s="467"/>
      <c r="F23" s="467"/>
      <c r="G23" s="467"/>
      <c r="H23" s="467"/>
      <c r="I23" s="467"/>
      <c r="J23" s="467"/>
      <c r="K23" s="467"/>
      <c r="L23" s="467"/>
      <c r="M23" s="467"/>
      <c r="N23" s="467"/>
      <c r="O23" s="467"/>
      <c r="P23" s="467"/>
      <c r="Q23" s="467"/>
      <c r="R23" s="467"/>
      <c r="S23" s="467"/>
      <c r="T23" s="468"/>
      <c r="U23" s="468"/>
      <c r="V23" s="468"/>
      <c r="W23" s="468"/>
      <c r="X23" s="468"/>
      <c r="Y23" s="468"/>
      <c r="Z23" s="468"/>
      <c r="AA23" s="468"/>
      <c r="AB23" s="468"/>
      <c r="AC23" s="468"/>
      <c r="AD23" s="468"/>
      <c r="AE23" s="468"/>
      <c r="AF23" s="468"/>
      <c r="AG23" s="468"/>
      <c r="AH23" s="468"/>
      <c r="AI23" s="468"/>
      <c r="AJ23" s="468"/>
      <c r="AK23" s="468"/>
      <c r="AL23" s="468"/>
      <c r="AM23" s="468"/>
      <c r="AN23" s="210"/>
    </row>
    <row r="24" customFormat="false" ht="11.1" hidden="false" customHeight="true" outlineLevel="0" collapsed="false">
      <c r="A24" s="469" t="s">
        <v>800</v>
      </c>
      <c r="B24" s="469"/>
      <c r="C24" s="469"/>
      <c r="D24" s="469"/>
      <c r="E24" s="469"/>
      <c r="F24" s="469"/>
      <c r="G24" s="469"/>
      <c r="H24" s="469"/>
      <c r="I24" s="469"/>
      <c r="J24" s="469"/>
      <c r="K24" s="469"/>
      <c r="L24" s="469"/>
      <c r="M24" s="469"/>
      <c r="N24" s="469"/>
      <c r="O24" s="469"/>
      <c r="P24" s="469"/>
      <c r="Q24" s="469"/>
      <c r="R24" s="469"/>
      <c r="S24" s="469"/>
      <c r="T24" s="468"/>
      <c r="U24" s="468"/>
      <c r="V24" s="468"/>
      <c r="W24" s="468"/>
      <c r="X24" s="468"/>
      <c r="Y24" s="468"/>
      <c r="Z24" s="468"/>
      <c r="AA24" s="468"/>
      <c r="AB24" s="468"/>
      <c r="AC24" s="468"/>
      <c r="AD24" s="468"/>
      <c r="AE24" s="468"/>
      <c r="AF24" s="468"/>
      <c r="AG24" s="468"/>
      <c r="AH24" s="468"/>
      <c r="AI24" s="468"/>
      <c r="AJ24" s="468"/>
      <c r="AK24" s="468"/>
      <c r="AL24" s="468"/>
      <c r="AM24" s="468"/>
      <c r="AN24" s="210"/>
    </row>
    <row r="25" customFormat="false" ht="11.1" hidden="false" customHeight="true" outlineLevel="0" collapsed="false">
      <c r="A25" s="470" t="str">
        <f aca="false">IF(Build!P327&lt;&gt;0,Build!P327,"")</f>
        <v/>
      </c>
      <c r="B25" s="470"/>
      <c r="C25" s="470"/>
      <c r="D25" s="470"/>
      <c r="E25" s="470"/>
      <c r="F25" s="470"/>
      <c r="G25" s="470"/>
      <c r="H25" s="470"/>
      <c r="I25" s="470"/>
      <c r="J25" s="470"/>
      <c r="K25" s="470"/>
      <c r="L25" s="470"/>
      <c r="M25" s="470"/>
      <c r="N25" s="470"/>
      <c r="O25" s="470"/>
      <c r="P25" s="470"/>
      <c r="Q25" s="470"/>
      <c r="R25" s="470"/>
      <c r="S25" s="470"/>
      <c r="T25" s="468"/>
      <c r="U25" s="468"/>
      <c r="V25" s="468"/>
      <c r="W25" s="468"/>
      <c r="X25" s="468"/>
      <c r="Y25" s="468"/>
      <c r="Z25" s="468"/>
      <c r="AA25" s="468"/>
      <c r="AB25" s="468"/>
      <c r="AC25" s="468"/>
      <c r="AD25" s="468"/>
      <c r="AE25" s="468"/>
      <c r="AF25" s="468"/>
      <c r="AG25" s="468"/>
      <c r="AH25" s="468"/>
      <c r="AI25" s="468"/>
      <c r="AJ25" s="468"/>
      <c r="AK25" s="468"/>
      <c r="AL25" s="468"/>
      <c r="AM25" s="468"/>
      <c r="AN25" s="210"/>
    </row>
    <row r="26" customFormat="false" ht="11.1" hidden="false" customHeight="true" outlineLevel="0" collapsed="false">
      <c r="A26" s="470"/>
      <c r="B26" s="470"/>
      <c r="C26" s="470"/>
      <c r="D26" s="470"/>
      <c r="E26" s="470"/>
      <c r="F26" s="470"/>
      <c r="G26" s="470"/>
      <c r="H26" s="470"/>
      <c r="I26" s="470"/>
      <c r="J26" s="470"/>
      <c r="K26" s="470"/>
      <c r="L26" s="470"/>
      <c r="M26" s="470"/>
      <c r="N26" s="470"/>
      <c r="O26" s="470"/>
      <c r="P26" s="470"/>
      <c r="Q26" s="470"/>
      <c r="R26" s="470"/>
      <c r="S26" s="470"/>
      <c r="T26" s="466" t="s">
        <v>807</v>
      </c>
      <c r="U26" s="466"/>
      <c r="V26" s="466"/>
      <c r="W26" s="466"/>
      <c r="X26" s="466"/>
      <c r="Y26" s="466"/>
      <c r="Z26" s="466"/>
      <c r="AA26" s="466"/>
      <c r="AB26" s="466"/>
      <c r="AC26" s="466"/>
      <c r="AD26" s="466"/>
      <c r="AE26" s="466"/>
      <c r="AF26" s="466"/>
      <c r="AG26" s="466"/>
      <c r="AH26" s="466"/>
      <c r="AI26" s="466"/>
      <c r="AJ26" s="466"/>
      <c r="AK26" s="466"/>
      <c r="AL26" s="466"/>
      <c r="AM26" s="466"/>
      <c r="AN26" s="210"/>
    </row>
    <row r="27" customFormat="false" ht="11.1" hidden="false" customHeight="true" outlineLevel="0" collapsed="false">
      <c r="A27" s="470"/>
      <c r="B27" s="470"/>
      <c r="C27" s="470"/>
      <c r="D27" s="470"/>
      <c r="E27" s="470"/>
      <c r="F27" s="470"/>
      <c r="G27" s="470"/>
      <c r="H27" s="470"/>
      <c r="I27" s="470"/>
      <c r="J27" s="470"/>
      <c r="K27" s="470"/>
      <c r="L27" s="470"/>
      <c r="M27" s="470"/>
      <c r="N27" s="470"/>
      <c r="O27" s="470"/>
      <c r="P27" s="470"/>
      <c r="Q27" s="470"/>
      <c r="R27" s="470"/>
      <c r="S27" s="470"/>
      <c r="T27" s="468" t="str">
        <f aca="false">IF(Build!P345&lt;&gt;0,Build!P345,"")</f>
        <v/>
      </c>
      <c r="U27" s="468"/>
      <c r="V27" s="468"/>
      <c r="W27" s="468"/>
      <c r="X27" s="468"/>
      <c r="Y27" s="468"/>
      <c r="Z27" s="468"/>
      <c r="AA27" s="468"/>
      <c r="AB27" s="468"/>
      <c r="AC27" s="468"/>
      <c r="AD27" s="468"/>
      <c r="AE27" s="468"/>
      <c r="AF27" s="468"/>
      <c r="AG27" s="468"/>
      <c r="AH27" s="468"/>
      <c r="AI27" s="468"/>
      <c r="AJ27" s="468"/>
      <c r="AK27" s="468"/>
      <c r="AL27" s="468"/>
      <c r="AM27" s="468"/>
      <c r="AN27" s="210"/>
    </row>
    <row r="28" customFormat="false" ht="11.1" hidden="false" customHeight="true" outlineLevel="0" collapsed="false">
      <c r="A28" s="470"/>
      <c r="B28" s="470"/>
      <c r="C28" s="470"/>
      <c r="D28" s="470"/>
      <c r="E28" s="470"/>
      <c r="F28" s="470"/>
      <c r="G28" s="470"/>
      <c r="H28" s="470"/>
      <c r="I28" s="470"/>
      <c r="J28" s="470"/>
      <c r="K28" s="470"/>
      <c r="L28" s="470"/>
      <c r="M28" s="470"/>
      <c r="N28" s="470"/>
      <c r="O28" s="470"/>
      <c r="P28" s="470"/>
      <c r="Q28" s="470"/>
      <c r="R28" s="470"/>
      <c r="S28" s="470"/>
      <c r="T28" s="468"/>
      <c r="U28" s="468"/>
      <c r="V28" s="468"/>
      <c r="W28" s="468"/>
      <c r="X28" s="468"/>
      <c r="Y28" s="468"/>
      <c r="Z28" s="468"/>
      <c r="AA28" s="468"/>
      <c r="AB28" s="468"/>
      <c r="AC28" s="468"/>
      <c r="AD28" s="468"/>
      <c r="AE28" s="468"/>
      <c r="AF28" s="468"/>
      <c r="AG28" s="468"/>
      <c r="AH28" s="468"/>
      <c r="AI28" s="468"/>
      <c r="AJ28" s="468"/>
      <c r="AK28" s="468"/>
      <c r="AL28" s="468"/>
      <c r="AM28" s="468"/>
    </row>
    <row r="29" customFormat="false" ht="11.1" hidden="false" customHeight="true" outlineLevel="0" collapsed="false">
      <c r="A29" s="470"/>
      <c r="B29" s="470"/>
      <c r="C29" s="470"/>
      <c r="D29" s="470"/>
      <c r="E29" s="470"/>
      <c r="F29" s="470"/>
      <c r="G29" s="470"/>
      <c r="H29" s="470"/>
      <c r="I29" s="470"/>
      <c r="J29" s="470"/>
      <c r="K29" s="470"/>
      <c r="L29" s="470"/>
      <c r="M29" s="470"/>
      <c r="N29" s="470"/>
      <c r="O29" s="470"/>
      <c r="P29" s="470"/>
      <c r="Q29" s="470"/>
      <c r="R29" s="470"/>
      <c r="S29" s="470"/>
      <c r="T29" s="468"/>
      <c r="U29" s="468"/>
      <c r="V29" s="468"/>
      <c r="W29" s="468"/>
      <c r="X29" s="468"/>
      <c r="Y29" s="468"/>
      <c r="Z29" s="468"/>
      <c r="AA29" s="468"/>
      <c r="AB29" s="468"/>
      <c r="AC29" s="468"/>
      <c r="AD29" s="468"/>
      <c r="AE29" s="468"/>
      <c r="AF29" s="468"/>
      <c r="AG29" s="468"/>
      <c r="AH29" s="468"/>
      <c r="AI29" s="468"/>
      <c r="AJ29" s="468"/>
      <c r="AK29" s="468"/>
      <c r="AL29" s="468"/>
      <c r="AM29" s="468"/>
    </row>
    <row r="30" customFormat="false" ht="11.1" hidden="false" customHeight="true" outlineLevel="0" collapsed="false">
      <c r="A30" s="470"/>
      <c r="B30" s="470"/>
      <c r="C30" s="470"/>
      <c r="D30" s="470"/>
      <c r="E30" s="470"/>
      <c r="F30" s="470"/>
      <c r="G30" s="470"/>
      <c r="H30" s="470"/>
      <c r="I30" s="470"/>
      <c r="J30" s="470"/>
      <c r="K30" s="470"/>
      <c r="L30" s="470"/>
      <c r="M30" s="470"/>
      <c r="N30" s="470"/>
      <c r="O30" s="470"/>
      <c r="P30" s="470"/>
      <c r="Q30" s="470"/>
      <c r="R30" s="470"/>
      <c r="S30" s="470"/>
      <c r="T30" s="468"/>
      <c r="U30" s="468"/>
      <c r="V30" s="468"/>
      <c r="W30" s="468"/>
      <c r="X30" s="468"/>
      <c r="Y30" s="468"/>
      <c r="Z30" s="468"/>
      <c r="AA30" s="468"/>
      <c r="AB30" s="468"/>
      <c r="AC30" s="468"/>
      <c r="AD30" s="468"/>
      <c r="AE30" s="468"/>
      <c r="AF30" s="468"/>
      <c r="AG30" s="468"/>
      <c r="AH30" s="468"/>
      <c r="AI30" s="468"/>
      <c r="AJ30" s="468"/>
      <c r="AK30" s="468"/>
      <c r="AL30" s="468"/>
      <c r="AM30" s="468"/>
    </row>
    <row r="31" customFormat="false" ht="11.1" hidden="false" customHeight="true" outlineLevel="0" collapsed="false">
      <c r="A31" s="465" t="s">
        <v>1173</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row>
    <row r="32" customFormat="false" ht="11.1" hidden="false" customHeight="true" outlineLevel="0" collapsed="false">
      <c r="A32" s="471" t="s">
        <v>163</v>
      </c>
      <c r="B32" s="471"/>
      <c r="C32" s="471"/>
      <c r="D32" s="471"/>
      <c r="E32" s="471"/>
      <c r="F32" s="471"/>
      <c r="G32" s="471"/>
      <c r="H32" s="471"/>
      <c r="I32" s="471"/>
      <c r="J32" s="471"/>
      <c r="K32" s="471"/>
      <c r="L32" s="471"/>
      <c r="M32" s="472" t="s">
        <v>1174</v>
      </c>
      <c r="N32" s="472"/>
      <c r="O32" s="472"/>
      <c r="P32" s="472"/>
      <c r="Q32" s="472"/>
      <c r="R32" s="472"/>
      <c r="S32" s="472" t="s">
        <v>176</v>
      </c>
      <c r="T32" s="472"/>
      <c r="U32" s="472" t="s">
        <v>1175</v>
      </c>
      <c r="V32" s="472"/>
      <c r="W32" s="472"/>
      <c r="X32" s="472"/>
      <c r="Y32" s="472"/>
      <c r="Z32" s="472"/>
      <c r="AA32" s="472"/>
      <c r="AB32" s="472"/>
      <c r="AC32" s="472"/>
      <c r="AD32" s="472" t="s">
        <v>160</v>
      </c>
      <c r="AE32" s="472"/>
      <c r="AF32" s="472"/>
      <c r="AG32" s="472"/>
      <c r="AH32" s="472"/>
      <c r="AI32" s="472"/>
      <c r="AJ32" s="472"/>
      <c r="AK32" s="472"/>
      <c r="AL32" s="473" t="s">
        <v>981</v>
      </c>
      <c r="AM32" s="473"/>
    </row>
    <row r="33" customFormat="false" ht="11.1" hidden="false" customHeight="true" outlineLevel="0" collapsed="false">
      <c r="A33" s="383"/>
      <c r="B33" s="383"/>
      <c r="C33" s="383"/>
      <c r="D33" s="383"/>
      <c r="E33" s="383"/>
      <c r="F33" s="383"/>
      <c r="G33" s="383"/>
      <c r="H33" s="383"/>
      <c r="I33" s="383"/>
      <c r="J33" s="383"/>
      <c r="K33" s="383"/>
      <c r="L33" s="383"/>
      <c r="M33" s="375"/>
      <c r="N33" s="375"/>
      <c r="O33" s="375"/>
      <c r="P33" s="375"/>
      <c r="Q33" s="375"/>
      <c r="R33" s="375"/>
      <c r="S33" s="375"/>
      <c r="T33" s="375"/>
      <c r="U33" s="375"/>
      <c r="V33" s="375"/>
      <c r="W33" s="375"/>
      <c r="X33" s="375"/>
      <c r="Y33" s="375"/>
      <c r="Z33" s="375"/>
      <c r="AA33" s="375"/>
      <c r="AB33" s="375"/>
      <c r="AC33" s="375"/>
      <c r="AD33" s="474"/>
      <c r="AE33" s="474"/>
      <c r="AF33" s="474"/>
      <c r="AG33" s="474"/>
      <c r="AH33" s="474"/>
      <c r="AI33" s="474"/>
      <c r="AJ33" s="474"/>
      <c r="AK33" s="474"/>
      <c r="AL33" s="406"/>
      <c r="AM33" s="406"/>
    </row>
    <row r="34" customFormat="false" ht="11.1" hidden="false" customHeight="true" outlineLevel="0" collapsed="false">
      <c r="A34" s="383"/>
      <c r="B34" s="383"/>
      <c r="C34" s="383"/>
      <c r="D34" s="383"/>
      <c r="E34" s="383"/>
      <c r="F34" s="383"/>
      <c r="G34" s="383"/>
      <c r="H34" s="383"/>
      <c r="I34" s="383"/>
      <c r="J34" s="383"/>
      <c r="K34" s="383"/>
      <c r="L34" s="383"/>
      <c r="M34" s="375"/>
      <c r="N34" s="375"/>
      <c r="O34" s="375"/>
      <c r="P34" s="375"/>
      <c r="Q34" s="375"/>
      <c r="R34" s="375"/>
      <c r="S34" s="375"/>
      <c r="T34" s="375"/>
      <c r="U34" s="375"/>
      <c r="V34" s="375"/>
      <c r="W34" s="375"/>
      <c r="X34" s="375"/>
      <c r="Y34" s="375"/>
      <c r="Z34" s="375"/>
      <c r="AA34" s="375"/>
      <c r="AB34" s="375"/>
      <c r="AC34" s="375"/>
      <c r="AD34" s="474"/>
      <c r="AE34" s="474"/>
      <c r="AF34" s="474"/>
      <c r="AG34" s="474"/>
      <c r="AH34" s="474"/>
      <c r="AI34" s="474"/>
      <c r="AJ34" s="474"/>
      <c r="AK34" s="474"/>
      <c r="AL34" s="406"/>
      <c r="AM34" s="406"/>
    </row>
    <row r="35" customFormat="false" ht="11.1" hidden="false" customHeight="true" outlineLevel="0" collapsed="false">
      <c r="A35" s="383"/>
      <c r="B35" s="383"/>
      <c r="C35" s="383"/>
      <c r="D35" s="383"/>
      <c r="E35" s="383"/>
      <c r="F35" s="383"/>
      <c r="G35" s="383"/>
      <c r="H35" s="383"/>
      <c r="I35" s="383"/>
      <c r="J35" s="383"/>
      <c r="K35" s="383"/>
      <c r="L35" s="383"/>
      <c r="M35" s="375"/>
      <c r="N35" s="375"/>
      <c r="O35" s="375"/>
      <c r="P35" s="375"/>
      <c r="Q35" s="375"/>
      <c r="R35" s="375"/>
      <c r="S35" s="375"/>
      <c r="T35" s="375"/>
      <c r="U35" s="375"/>
      <c r="V35" s="375"/>
      <c r="W35" s="375"/>
      <c r="X35" s="375"/>
      <c r="Y35" s="375"/>
      <c r="Z35" s="375"/>
      <c r="AA35" s="375"/>
      <c r="AB35" s="375"/>
      <c r="AC35" s="375"/>
      <c r="AD35" s="474"/>
      <c r="AE35" s="474"/>
      <c r="AF35" s="474"/>
      <c r="AG35" s="474"/>
      <c r="AH35" s="474"/>
      <c r="AI35" s="474"/>
      <c r="AJ35" s="474"/>
      <c r="AK35" s="474"/>
      <c r="AL35" s="406"/>
      <c r="AM35" s="406"/>
    </row>
    <row r="36" customFormat="false" ht="11.1" hidden="false" customHeight="true" outlineLevel="0" collapsed="false">
      <c r="A36" s="383"/>
      <c r="B36" s="383"/>
      <c r="C36" s="383"/>
      <c r="D36" s="383"/>
      <c r="E36" s="383"/>
      <c r="F36" s="383"/>
      <c r="G36" s="383"/>
      <c r="H36" s="383"/>
      <c r="I36" s="383"/>
      <c r="J36" s="383"/>
      <c r="K36" s="383"/>
      <c r="L36" s="383"/>
      <c r="M36" s="375"/>
      <c r="N36" s="375"/>
      <c r="O36" s="375"/>
      <c r="P36" s="375"/>
      <c r="Q36" s="375"/>
      <c r="R36" s="375"/>
      <c r="S36" s="375"/>
      <c r="T36" s="375"/>
      <c r="U36" s="375"/>
      <c r="V36" s="375"/>
      <c r="W36" s="375"/>
      <c r="X36" s="375"/>
      <c r="Y36" s="375"/>
      <c r="Z36" s="375"/>
      <c r="AA36" s="375"/>
      <c r="AB36" s="375"/>
      <c r="AC36" s="375"/>
      <c r="AD36" s="474"/>
      <c r="AE36" s="474"/>
      <c r="AF36" s="474"/>
      <c r="AG36" s="474"/>
      <c r="AH36" s="474"/>
      <c r="AI36" s="474"/>
      <c r="AJ36" s="474"/>
      <c r="AK36" s="474"/>
      <c r="AL36" s="406"/>
      <c r="AM36" s="406"/>
    </row>
    <row r="37" customFormat="false" ht="11.1" hidden="false" customHeight="true" outlineLevel="0" collapsed="false">
      <c r="A37" s="383"/>
      <c r="B37" s="383"/>
      <c r="C37" s="383"/>
      <c r="D37" s="383"/>
      <c r="E37" s="383"/>
      <c r="F37" s="383"/>
      <c r="G37" s="383"/>
      <c r="H37" s="383"/>
      <c r="I37" s="383"/>
      <c r="J37" s="383"/>
      <c r="K37" s="383"/>
      <c r="L37" s="383"/>
      <c r="M37" s="375"/>
      <c r="N37" s="375"/>
      <c r="O37" s="375"/>
      <c r="P37" s="375"/>
      <c r="Q37" s="375"/>
      <c r="R37" s="375"/>
      <c r="S37" s="375"/>
      <c r="T37" s="375"/>
      <c r="U37" s="375"/>
      <c r="V37" s="375"/>
      <c r="W37" s="375"/>
      <c r="X37" s="375"/>
      <c r="Y37" s="375"/>
      <c r="Z37" s="375"/>
      <c r="AA37" s="375"/>
      <c r="AB37" s="375"/>
      <c r="AC37" s="375"/>
      <c r="AD37" s="474"/>
      <c r="AE37" s="474"/>
      <c r="AF37" s="474"/>
      <c r="AG37" s="474"/>
      <c r="AH37" s="474"/>
      <c r="AI37" s="474"/>
      <c r="AJ37" s="474"/>
      <c r="AK37" s="474"/>
      <c r="AL37" s="406"/>
      <c r="AM37" s="406"/>
    </row>
    <row r="38" customFormat="false" ht="11.1" hidden="false" customHeight="true" outlineLevel="0" collapsed="false">
      <c r="A38" s="383"/>
      <c r="B38" s="383"/>
      <c r="C38" s="383"/>
      <c r="D38" s="383"/>
      <c r="E38" s="383"/>
      <c r="F38" s="383"/>
      <c r="G38" s="383"/>
      <c r="H38" s="383"/>
      <c r="I38" s="383"/>
      <c r="J38" s="383"/>
      <c r="K38" s="383"/>
      <c r="L38" s="383"/>
      <c r="M38" s="375"/>
      <c r="N38" s="375"/>
      <c r="O38" s="375"/>
      <c r="P38" s="375"/>
      <c r="Q38" s="375"/>
      <c r="R38" s="375"/>
      <c r="S38" s="375"/>
      <c r="T38" s="375"/>
      <c r="U38" s="375"/>
      <c r="V38" s="375"/>
      <c r="W38" s="375"/>
      <c r="X38" s="375"/>
      <c r="Y38" s="375"/>
      <c r="Z38" s="375"/>
      <c r="AA38" s="375"/>
      <c r="AB38" s="375"/>
      <c r="AC38" s="375"/>
      <c r="AD38" s="474"/>
      <c r="AE38" s="474"/>
      <c r="AF38" s="474"/>
      <c r="AG38" s="474"/>
      <c r="AH38" s="474"/>
      <c r="AI38" s="474"/>
      <c r="AJ38" s="474"/>
      <c r="AK38" s="474"/>
      <c r="AL38" s="406"/>
      <c r="AM38" s="406"/>
    </row>
    <row r="39" customFormat="false" ht="11.1" hidden="false" customHeight="true" outlineLevel="0" collapsed="false">
      <c r="A39" s="383"/>
      <c r="B39" s="383"/>
      <c r="C39" s="383"/>
      <c r="D39" s="383"/>
      <c r="E39" s="383"/>
      <c r="F39" s="383"/>
      <c r="G39" s="383"/>
      <c r="H39" s="383"/>
      <c r="I39" s="383"/>
      <c r="J39" s="383"/>
      <c r="K39" s="383"/>
      <c r="L39" s="383"/>
      <c r="M39" s="375"/>
      <c r="N39" s="375"/>
      <c r="O39" s="375"/>
      <c r="P39" s="375"/>
      <c r="Q39" s="375"/>
      <c r="R39" s="375"/>
      <c r="S39" s="375"/>
      <c r="T39" s="375"/>
      <c r="U39" s="375"/>
      <c r="V39" s="375"/>
      <c r="W39" s="375"/>
      <c r="X39" s="375"/>
      <c r="Y39" s="375"/>
      <c r="Z39" s="375"/>
      <c r="AA39" s="375"/>
      <c r="AB39" s="375"/>
      <c r="AC39" s="375"/>
      <c r="AD39" s="474"/>
      <c r="AE39" s="474"/>
      <c r="AF39" s="474"/>
      <c r="AG39" s="474"/>
      <c r="AH39" s="474"/>
      <c r="AI39" s="474"/>
      <c r="AJ39" s="474"/>
      <c r="AK39" s="474"/>
      <c r="AL39" s="406"/>
      <c r="AM39" s="406"/>
    </row>
    <row r="40" customFormat="false" ht="11.1" hidden="false" customHeight="true" outlineLevel="0" collapsed="false">
      <c r="A40" s="383"/>
      <c r="B40" s="383"/>
      <c r="C40" s="383"/>
      <c r="D40" s="383"/>
      <c r="E40" s="383"/>
      <c r="F40" s="383"/>
      <c r="G40" s="383"/>
      <c r="H40" s="383"/>
      <c r="I40" s="383"/>
      <c r="J40" s="383"/>
      <c r="K40" s="383"/>
      <c r="L40" s="383"/>
      <c r="M40" s="375"/>
      <c r="N40" s="375"/>
      <c r="O40" s="375"/>
      <c r="P40" s="375"/>
      <c r="Q40" s="375"/>
      <c r="R40" s="375"/>
      <c r="S40" s="375"/>
      <c r="T40" s="375"/>
      <c r="U40" s="375"/>
      <c r="V40" s="375"/>
      <c r="W40" s="375"/>
      <c r="X40" s="375"/>
      <c r="Y40" s="375"/>
      <c r="Z40" s="375"/>
      <c r="AA40" s="375"/>
      <c r="AB40" s="375"/>
      <c r="AC40" s="375"/>
      <c r="AD40" s="474"/>
      <c r="AE40" s="474"/>
      <c r="AF40" s="474"/>
      <c r="AG40" s="474"/>
      <c r="AH40" s="474"/>
      <c r="AI40" s="474"/>
      <c r="AJ40" s="474"/>
      <c r="AK40" s="474"/>
      <c r="AL40" s="406"/>
      <c r="AM40" s="406"/>
    </row>
    <row r="41" customFormat="false" ht="11.1" hidden="false" customHeight="true" outlineLevel="0" collapsed="false">
      <c r="A41" s="383"/>
      <c r="B41" s="383"/>
      <c r="C41" s="383"/>
      <c r="D41" s="383"/>
      <c r="E41" s="383"/>
      <c r="F41" s="383"/>
      <c r="G41" s="383"/>
      <c r="H41" s="383"/>
      <c r="I41" s="383"/>
      <c r="J41" s="383"/>
      <c r="K41" s="383"/>
      <c r="L41" s="383"/>
      <c r="M41" s="375"/>
      <c r="N41" s="375"/>
      <c r="O41" s="375"/>
      <c r="P41" s="375"/>
      <c r="Q41" s="375"/>
      <c r="R41" s="375"/>
      <c r="S41" s="375"/>
      <c r="T41" s="375"/>
      <c r="U41" s="375"/>
      <c r="V41" s="375"/>
      <c r="W41" s="375"/>
      <c r="X41" s="375"/>
      <c r="Y41" s="375"/>
      <c r="Z41" s="375"/>
      <c r="AA41" s="375"/>
      <c r="AB41" s="375"/>
      <c r="AC41" s="375"/>
      <c r="AD41" s="474"/>
      <c r="AE41" s="474"/>
      <c r="AF41" s="474"/>
      <c r="AG41" s="474"/>
      <c r="AH41" s="474"/>
      <c r="AI41" s="474"/>
      <c r="AJ41" s="474"/>
      <c r="AK41" s="474"/>
      <c r="AL41" s="406"/>
      <c r="AM41" s="406"/>
    </row>
    <row r="42" customFormat="false" ht="11.1" hidden="false" customHeight="true" outlineLevel="0" collapsed="false">
      <c r="A42" s="383"/>
      <c r="B42" s="383"/>
      <c r="C42" s="383"/>
      <c r="D42" s="383"/>
      <c r="E42" s="383"/>
      <c r="F42" s="383"/>
      <c r="G42" s="383"/>
      <c r="H42" s="383"/>
      <c r="I42" s="383"/>
      <c r="J42" s="383"/>
      <c r="K42" s="383"/>
      <c r="L42" s="383"/>
      <c r="M42" s="375"/>
      <c r="N42" s="375"/>
      <c r="O42" s="375"/>
      <c r="P42" s="375"/>
      <c r="Q42" s="375"/>
      <c r="R42" s="375"/>
      <c r="S42" s="375"/>
      <c r="T42" s="375"/>
      <c r="U42" s="375"/>
      <c r="V42" s="375"/>
      <c r="W42" s="375"/>
      <c r="X42" s="375"/>
      <c r="Y42" s="375"/>
      <c r="Z42" s="375"/>
      <c r="AA42" s="375"/>
      <c r="AB42" s="375"/>
      <c r="AC42" s="375"/>
      <c r="AD42" s="474"/>
      <c r="AE42" s="474"/>
      <c r="AF42" s="474"/>
      <c r="AG42" s="474"/>
      <c r="AH42" s="474"/>
      <c r="AI42" s="474"/>
      <c r="AJ42" s="474"/>
      <c r="AK42" s="474"/>
      <c r="AL42" s="406"/>
      <c r="AM42" s="406"/>
    </row>
    <row r="43" customFormat="false" ht="11.1" hidden="false" customHeight="true" outlineLevel="0" collapsed="false">
      <c r="A43" s="383"/>
      <c r="B43" s="383"/>
      <c r="C43" s="383"/>
      <c r="D43" s="383"/>
      <c r="E43" s="383"/>
      <c r="F43" s="383"/>
      <c r="G43" s="383"/>
      <c r="H43" s="383"/>
      <c r="I43" s="383"/>
      <c r="J43" s="383"/>
      <c r="K43" s="383"/>
      <c r="L43" s="383"/>
      <c r="M43" s="375"/>
      <c r="N43" s="375"/>
      <c r="O43" s="375"/>
      <c r="P43" s="375"/>
      <c r="Q43" s="375"/>
      <c r="R43" s="375"/>
      <c r="S43" s="375"/>
      <c r="T43" s="375"/>
      <c r="U43" s="375"/>
      <c r="V43" s="375"/>
      <c r="W43" s="375"/>
      <c r="X43" s="375"/>
      <c r="Y43" s="375"/>
      <c r="Z43" s="375"/>
      <c r="AA43" s="375"/>
      <c r="AB43" s="375"/>
      <c r="AC43" s="375"/>
      <c r="AD43" s="474"/>
      <c r="AE43" s="474"/>
      <c r="AF43" s="474"/>
      <c r="AG43" s="474"/>
      <c r="AH43" s="474"/>
      <c r="AI43" s="474"/>
      <c r="AJ43" s="474"/>
      <c r="AK43" s="474"/>
      <c r="AL43" s="406"/>
      <c r="AM43" s="406"/>
    </row>
    <row r="44" customFormat="false" ht="11.1" hidden="false" customHeight="true" outlineLevel="0" collapsed="false">
      <c r="A44" s="383"/>
      <c r="B44" s="383"/>
      <c r="C44" s="383"/>
      <c r="D44" s="383"/>
      <c r="E44" s="383"/>
      <c r="F44" s="383"/>
      <c r="G44" s="383"/>
      <c r="H44" s="383"/>
      <c r="I44" s="383"/>
      <c r="J44" s="383"/>
      <c r="K44" s="383"/>
      <c r="L44" s="383"/>
      <c r="M44" s="375"/>
      <c r="N44" s="375"/>
      <c r="O44" s="375"/>
      <c r="P44" s="375"/>
      <c r="Q44" s="375"/>
      <c r="R44" s="375"/>
      <c r="S44" s="375"/>
      <c r="T44" s="375"/>
      <c r="U44" s="375"/>
      <c r="V44" s="375"/>
      <c r="W44" s="375"/>
      <c r="X44" s="375"/>
      <c r="Y44" s="375"/>
      <c r="Z44" s="375"/>
      <c r="AA44" s="375"/>
      <c r="AB44" s="375"/>
      <c r="AC44" s="375"/>
      <c r="AD44" s="474"/>
      <c r="AE44" s="474"/>
      <c r="AF44" s="474"/>
      <c r="AG44" s="474"/>
      <c r="AH44" s="474"/>
      <c r="AI44" s="474"/>
      <c r="AJ44" s="474"/>
      <c r="AK44" s="474"/>
      <c r="AL44" s="406"/>
      <c r="AM44" s="406"/>
    </row>
    <row r="45" customFormat="false" ht="11.1" hidden="false" customHeight="true" outlineLevel="0" collapsed="false">
      <c r="A45" s="383"/>
      <c r="B45" s="383"/>
      <c r="C45" s="383"/>
      <c r="D45" s="383"/>
      <c r="E45" s="383"/>
      <c r="F45" s="383"/>
      <c r="G45" s="383"/>
      <c r="H45" s="383"/>
      <c r="I45" s="383"/>
      <c r="J45" s="383"/>
      <c r="K45" s="383"/>
      <c r="L45" s="383"/>
      <c r="M45" s="375"/>
      <c r="N45" s="375"/>
      <c r="O45" s="375"/>
      <c r="P45" s="375"/>
      <c r="Q45" s="375"/>
      <c r="R45" s="375"/>
      <c r="S45" s="375"/>
      <c r="T45" s="375"/>
      <c r="U45" s="375"/>
      <c r="V45" s="375"/>
      <c r="W45" s="375"/>
      <c r="X45" s="375"/>
      <c r="Y45" s="375"/>
      <c r="Z45" s="375"/>
      <c r="AA45" s="375"/>
      <c r="AB45" s="375"/>
      <c r="AC45" s="375"/>
      <c r="AD45" s="474"/>
      <c r="AE45" s="474"/>
      <c r="AF45" s="474"/>
      <c r="AG45" s="474"/>
      <c r="AH45" s="474"/>
      <c r="AI45" s="474"/>
      <c r="AJ45" s="474"/>
      <c r="AK45" s="474"/>
      <c r="AL45" s="406"/>
      <c r="AM45" s="406"/>
    </row>
    <row r="46" customFormat="false" ht="11.1" hidden="false" customHeight="true" outlineLevel="0" collapsed="false">
      <c r="A46" s="383"/>
      <c r="B46" s="383"/>
      <c r="C46" s="383"/>
      <c r="D46" s="383"/>
      <c r="E46" s="383"/>
      <c r="F46" s="383"/>
      <c r="G46" s="383"/>
      <c r="H46" s="383"/>
      <c r="I46" s="383"/>
      <c r="J46" s="383"/>
      <c r="K46" s="383"/>
      <c r="L46" s="383"/>
      <c r="M46" s="375"/>
      <c r="N46" s="375"/>
      <c r="O46" s="375"/>
      <c r="P46" s="375"/>
      <c r="Q46" s="375"/>
      <c r="R46" s="375"/>
      <c r="S46" s="375"/>
      <c r="T46" s="375"/>
      <c r="U46" s="375"/>
      <c r="V46" s="375"/>
      <c r="W46" s="375"/>
      <c r="X46" s="375"/>
      <c r="Y46" s="375"/>
      <c r="Z46" s="375"/>
      <c r="AA46" s="375"/>
      <c r="AB46" s="375"/>
      <c r="AC46" s="375"/>
      <c r="AD46" s="474"/>
      <c r="AE46" s="474"/>
      <c r="AF46" s="474"/>
      <c r="AG46" s="474"/>
      <c r="AH46" s="474"/>
      <c r="AI46" s="474"/>
      <c r="AJ46" s="474"/>
      <c r="AK46" s="474"/>
      <c r="AL46" s="406"/>
      <c r="AM46" s="406"/>
    </row>
    <row r="47" customFormat="false" ht="11.1" hidden="false" customHeight="true" outlineLevel="0" collapsed="false">
      <c r="A47" s="383"/>
      <c r="B47" s="383"/>
      <c r="C47" s="383"/>
      <c r="D47" s="383"/>
      <c r="E47" s="383"/>
      <c r="F47" s="383"/>
      <c r="G47" s="383"/>
      <c r="H47" s="383"/>
      <c r="I47" s="383"/>
      <c r="J47" s="383"/>
      <c r="K47" s="383"/>
      <c r="L47" s="383"/>
      <c r="M47" s="375"/>
      <c r="N47" s="375"/>
      <c r="O47" s="375"/>
      <c r="P47" s="375"/>
      <c r="Q47" s="375"/>
      <c r="R47" s="375"/>
      <c r="S47" s="375"/>
      <c r="T47" s="375"/>
      <c r="U47" s="375"/>
      <c r="V47" s="375"/>
      <c r="W47" s="375"/>
      <c r="X47" s="375"/>
      <c r="Y47" s="375"/>
      <c r="Z47" s="375"/>
      <c r="AA47" s="375"/>
      <c r="AB47" s="375"/>
      <c r="AC47" s="375"/>
      <c r="AD47" s="474"/>
      <c r="AE47" s="474"/>
      <c r="AF47" s="474"/>
      <c r="AG47" s="474"/>
      <c r="AH47" s="474"/>
      <c r="AI47" s="474"/>
      <c r="AJ47" s="474"/>
      <c r="AK47" s="474"/>
      <c r="AL47" s="406"/>
      <c r="AM47" s="406"/>
    </row>
    <row r="48" customFormat="false" ht="11.1" hidden="false" customHeight="true" outlineLevel="0" collapsed="false">
      <c r="A48" s="475" t="s">
        <v>1176</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row>
    <row r="49" customFormat="false" ht="11.1" hidden="false" customHeight="true" outlineLevel="0" collapsed="false">
      <c r="A49" s="476" t="str">
        <f aca="false">IF(Build!B337&lt;&gt;0,Build!B337,"")</f>
        <v/>
      </c>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row r="50" customFormat="false" ht="11.1" hidden="false" customHeight="true" outlineLevel="0" collapsed="false">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row>
    <row r="51" customFormat="false" ht="11.1" hidden="false" customHeight="true" outlineLevel="0" collapsed="false">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row>
    <row r="52" customFormat="false" ht="11.1" hidden="false" customHeight="true" outlineLevel="0" collapsed="false">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row>
    <row r="53" customFormat="false" ht="11.1" hidden="false" customHeight="true" outlineLevel="0" collapsed="false">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row>
    <row r="54" customFormat="false" ht="11.1" hidden="false" customHeight="true" outlineLevel="0" collapsed="false">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row>
    <row r="55" customFormat="false" ht="11.1" hidden="false" customHeight="true" outlineLevel="0" collapsed="false">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row>
    <row r="56" customFormat="false" ht="11.1" hidden="false" customHeight="true" outlineLevel="0" collapsed="false">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row>
    <row r="57" customFormat="false" ht="11.1" hidden="false" customHeight="true" outlineLevel="0" collapsed="false">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row>
    <row r="58" customFormat="false" ht="11.1" hidden="false" customHeight="true" outlineLevel="0" collapsed="false">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row>
    <row r="59" customFormat="false" ht="11.1" hidden="false" customHeight="true" outlineLevel="0" collapsed="false">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row>
    <row r="60" customFormat="false" ht="11.1" hidden="false" customHeight="true" outlineLevel="0" collapsed="false">
      <c r="A60" s="465" t="s">
        <v>1177</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row>
    <row r="61" customFormat="false" ht="11.1" hidden="false" customHeight="true" outlineLevel="0" collapsed="false">
      <c r="A61" s="477" t="str">
        <f aca="false">IF(Build!B344&lt;&gt;0,Build!B344,"")</f>
        <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row>
    <row r="62" customFormat="false" ht="11.1" hidden="false" customHeight="true" outlineLevel="0" collapsed="false">
      <c r="A62" s="478" t="str">
        <f aca="false">IF(Build!B345&lt;&gt;0,Build!B345,"")</f>
        <v/>
      </c>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row>
    <row r="63" customFormat="false" ht="11.1" hidden="false" customHeight="true" outlineLevel="0" collapsed="false">
      <c r="A63" s="478" t="str">
        <f aca="false">IF(Build!B346&lt;&gt;0,Build!B346,"")</f>
        <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row>
    <row r="64" customFormat="false" ht="11.1" hidden="false" customHeight="true" outlineLevel="0" collapsed="false">
      <c r="A64" s="478" t="str">
        <f aca="false">IF(Build!B347&lt;&gt;0,Build!B347,"")</f>
        <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row>
    <row r="65" customFormat="false" ht="11.1" hidden="false" customHeight="true" outlineLevel="0" collapsed="false">
      <c r="A65" s="478" t="str">
        <f aca="false">IF(Build!B348&lt;&gt;0,Build!B348,"")</f>
        <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customFormat="false" ht="11.1" hidden="false" customHeight="true" outlineLevel="0" collapsed="false">
      <c r="A66" s="478" t="str">
        <f aca="false">IF(Build!B349&lt;&gt;0,Build!B349,"")</f>
        <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row>
    <row r="67" customFormat="false" ht="11.1" hidden="false" customHeight="true" outlineLevel="0" collapsed="false">
      <c r="A67" s="478" t="str">
        <f aca="false">IF(Build!B350&lt;&gt;0,Build!B350,"")</f>
        <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row>
    <row r="68" customFormat="false" ht="11.1" hidden="false" customHeight="true" outlineLevel="0" collapsed="false">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row>
  </sheetData>
  <mergeCells count="130">
    <mergeCell ref="A1:AM1"/>
    <mergeCell ref="A2:AJ2"/>
    <mergeCell ref="AK2:AM2"/>
    <mergeCell ref="A3:AM3"/>
    <mergeCell ref="A4:S4"/>
    <mergeCell ref="T4:AM4"/>
    <mergeCell ref="A5:S9"/>
    <mergeCell ref="T5:AM9"/>
    <mergeCell ref="A10:S10"/>
    <mergeCell ref="T10:AM10"/>
    <mergeCell ref="A11:S17"/>
    <mergeCell ref="T11:AM15"/>
    <mergeCell ref="T16:AM16"/>
    <mergeCell ref="T17:AM20"/>
    <mergeCell ref="A18:S18"/>
    <mergeCell ref="A19:S23"/>
    <mergeCell ref="T21:AM21"/>
    <mergeCell ref="T22:AM25"/>
    <mergeCell ref="A24:S24"/>
    <mergeCell ref="A25:S30"/>
    <mergeCell ref="T26:AM26"/>
    <mergeCell ref="T27:AM30"/>
    <mergeCell ref="A31:AM31"/>
    <mergeCell ref="A32:L32"/>
    <mergeCell ref="M32:R32"/>
    <mergeCell ref="S32:T32"/>
    <mergeCell ref="U32:AC32"/>
    <mergeCell ref="AD32:AK32"/>
    <mergeCell ref="AL32:AM32"/>
    <mergeCell ref="A33:L33"/>
    <mergeCell ref="M33:R33"/>
    <mergeCell ref="S33:T33"/>
    <mergeCell ref="U33:AC33"/>
    <mergeCell ref="AD33:AK33"/>
    <mergeCell ref="AL33:AM33"/>
    <mergeCell ref="A34:L34"/>
    <mergeCell ref="M34:R34"/>
    <mergeCell ref="S34:T34"/>
    <mergeCell ref="U34:AC34"/>
    <mergeCell ref="AD34:AK34"/>
    <mergeCell ref="AL34:AM34"/>
    <mergeCell ref="A35:L35"/>
    <mergeCell ref="M35:R35"/>
    <mergeCell ref="S35:T35"/>
    <mergeCell ref="U35:AC35"/>
    <mergeCell ref="AD35:AK35"/>
    <mergeCell ref="AL35:AM35"/>
    <mergeCell ref="A36:L36"/>
    <mergeCell ref="M36:R36"/>
    <mergeCell ref="S36:T36"/>
    <mergeCell ref="U36:AC36"/>
    <mergeCell ref="AD36:AK36"/>
    <mergeCell ref="AL36:AM36"/>
    <mergeCell ref="A37:L37"/>
    <mergeCell ref="M37:R37"/>
    <mergeCell ref="S37:T37"/>
    <mergeCell ref="U37:AC37"/>
    <mergeCell ref="AD37:AK37"/>
    <mergeCell ref="AL37:AM37"/>
    <mergeCell ref="A38:L38"/>
    <mergeCell ref="M38:R38"/>
    <mergeCell ref="S38:T38"/>
    <mergeCell ref="U38:AC38"/>
    <mergeCell ref="AD38:AK38"/>
    <mergeCell ref="AL38:AM38"/>
    <mergeCell ref="A39:L39"/>
    <mergeCell ref="M39:R39"/>
    <mergeCell ref="S39:T39"/>
    <mergeCell ref="U39:AC39"/>
    <mergeCell ref="AD39:AK39"/>
    <mergeCell ref="AL39:AM39"/>
    <mergeCell ref="A40:L40"/>
    <mergeCell ref="M40:R40"/>
    <mergeCell ref="S40:T40"/>
    <mergeCell ref="U40:AC40"/>
    <mergeCell ref="AD40:AK40"/>
    <mergeCell ref="AL40:AM40"/>
    <mergeCell ref="A41:L41"/>
    <mergeCell ref="M41:R41"/>
    <mergeCell ref="S41:T41"/>
    <mergeCell ref="U41:AC41"/>
    <mergeCell ref="AD41:AK41"/>
    <mergeCell ref="AL41:AM41"/>
    <mergeCell ref="A42:L42"/>
    <mergeCell ref="M42:R42"/>
    <mergeCell ref="S42:T42"/>
    <mergeCell ref="U42:AC42"/>
    <mergeCell ref="AD42:AK42"/>
    <mergeCell ref="AL42:AM42"/>
    <mergeCell ref="A43:L43"/>
    <mergeCell ref="M43:R43"/>
    <mergeCell ref="S43:T43"/>
    <mergeCell ref="U43:AC43"/>
    <mergeCell ref="AD43:AK43"/>
    <mergeCell ref="AL43:AM43"/>
    <mergeCell ref="A44:L44"/>
    <mergeCell ref="M44:R44"/>
    <mergeCell ref="S44:T44"/>
    <mergeCell ref="U44:AC44"/>
    <mergeCell ref="AD44:AK44"/>
    <mergeCell ref="AL44:AM44"/>
    <mergeCell ref="A45:L45"/>
    <mergeCell ref="M45:R45"/>
    <mergeCell ref="S45:T45"/>
    <mergeCell ref="U45:AC45"/>
    <mergeCell ref="AD45:AK45"/>
    <mergeCell ref="AL45:AM45"/>
    <mergeCell ref="A46:L46"/>
    <mergeCell ref="M46:R46"/>
    <mergeCell ref="S46:T46"/>
    <mergeCell ref="U46:AC46"/>
    <mergeCell ref="AD46:AK46"/>
    <mergeCell ref="AL46:AM46"/>
    <mergeCell ref="A47:L47"/>
    <mergeCell ref="M47:R47"/>
    <mergeCell ref="S47:T47"/>
    <mergeCell ref="U47:AC47"/>
    <mergeCell ref="AD47:AK47"/>
    <mergeCell ref="AL47:AM47"/>
    <mergeCell ref="A48:AM48"/>
    <mergeCell ref="A49:AM59"/>
    <mergeCell ref="A60:AM60"/>
    <mergeCell ref="A61:AM61"/>
    <mergeCell ref="A62:AM62"/>
    <mergeCell ref="A63:AM63"/>
    <mergeCell ref="A64:AM64"/>
    <mergeCell ref="A65:AM65"/>
    <mergeCell ref="A66:AM66"/>
    <mergeCell ref="A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W20" activeCellId="0" sqref="W20"/>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1178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1077</v>
      </c>
      <c r="B4" s="486"/>
      <c r="C4" s="487" t="s">
        <v>1179</v>
      </c>
      <c r="D4" s="487"/>
      <c r="E4" s="487"/>
      <c r="F4" s="487"/>
      <c r="G4" s="487"/>
      <c r="H4" s="487"/>
      <c r="I4" s="487"/>
      <c r="J4" s="487"/>
      <c r="K4" s="487"/>
      <c r="L4" s="488" t="s">
        <v>1180</v>
      </c>
      <c r="M4" s="488"/>
      <c r="N4" s="488" t="s">
        <v>1181</v>
      </c>
      <c r="O4" s="488"/>
      <c r="P4" s="489" t="s">
        <v>1182</v>
      </c>
      <c r="Q4" s="489"/>
      <c r="R4" s="489" t="s">
        <v>1183</v>
      </c>
      <c r="S4" s="489"/>
      <c r="T4" s="488" t="s">
        <v>338</v>
      </c>
      <c r="U4" s="488"/>
      <c r="V4" s="488"/>
      <c r="W4" s="488" t="s">
        <v>1184</v>
      </c>
      <c r="X4" s="488"/>
      <c r="Y4" s="488"/>
      <c r="Z4" s="488" t="s">
        <v>877</v>
      </c>
      <c r="AA4" s="488"/>
      <c r="AB4" s="488"/>
      <c r="AC4" s="488" t="s">
        <v>341</v>
      </c>
      <c r="AD4" s="488"/>
      <c r="AE4" s="488" t="s">
        <v>979</v>
      </c>
      <c r="AF4" s="488"/>
      <c r="AG4" s="488"/>
      <c r="AH4" s="488"/>
      <c r="AI4" s="488"/>
      <c r="AJ4" s="488"/>
      <c r="AK4" s="490" t="s">
        <v>1185</v>
      </c>
      <c r="AL4" s="490"/>
      <c r="AM4" s="490"/>
    </row>
    <row r="5" customFormat="false" ht="11.1" hidden="false" customHeight="true" outlineLevel="0" collapsed="false">
      <c r="A5" s="389"/>
      <c r="B5" s="389"/>
      <c r="C5" s="491" t="str">
        <f aca="true">IF(Build!AA617,OFFSET(Spells!B$2,Build!AA617,0),"")</f>
        <v/>
      </c>
      <c r="D5" s="491"/>
      <c r="E5" s="491"/>
      <c r="F5" s="491"/>
      <c r="G5" s="491"/>
      <c r="H5" s="491"/>
      <c r="I5" s="491"/>
      <c r="J5" s="491"/>
      <c r="K5" s="491"/>
      <c r="L5" s="492" t="str">
        <f aca="true">IF(Build!AA617,OFFSET(Spells!C$2,Build!AA617,0),"")</f>
        <v/>
      </c>
      <c r="M5" s="492"/>
      <c r="N5" s="492" t="str">
        <f aca="true">IF(Build!AA617,OFFSET(Spells!D$2,Build!AA617,0),"")</f>
        <v/>
      </c>
      <c r="O5" s="492"/>
      <c r="P5" s="492" t="str">
        <f aca="true">IF(Build!AA617,OFFSET(Spells!E$2,Build!AA617,0),"")</f>
        <v/>
      </c>
      <c r="Q5" s="492"/>
      <c r="R5" s="492" t="str">
        <f aca="true">IF(Build!AA617,OFFSET(Spells!F$2,Build!AA617,0),"")</f>
        <v/>
      </c>
      <c r="S5" s="492"/>
      <c r="T5" s="492" t="str">
        <f aca="true">IF(Build!AA617,OFFSET(Spells!G$2,Build!AA617,0),"")</f>
        <v/>
      </c>
      <c r="U5" s="492"/>
      <c r="V5" s="492"/>
      <c r="W5" s="493" t="str">
        <f aca="true">IF(Build!AA617,OFFSET(Spells!I$2,Build!AA617,0),"")</f>
        <v/>
      </c>
      <c r="X5" s="493"/>
      <c r="Y5" s="493"/>
      <c r="Z5" s="494" t="str">
        <f aca="false">Build!AG617</f>
        <v>Effect</v>
      </c>
      <c r="AA5" s="494"/>
      <c r="AB5" s="494"/>
      <c r="AC5" s="495" t="e">
        <f aca="false">IF(Z5&lt;&gt;"",VLOOKUP(LEFT(Z5,FIND("+",Z5&amp;"+")-1),Build!X$596:Y$603,2,0)+IF(LEN(Z5)&gt;2,MID(Z5,FIND("+",Z5&amp;"+")+1,2),0),"")</f>
        <v>#N/A</v>
      </c>
      <c r="AD5" s="495"/>
      <c r="AE5" s="496" t="e">
        <f aca="true">IF(AC5&lt;&gt;"",OFFSET(ActionDice,AC5,0),"")</f>
        <v>#N/A</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IF(Build!AA618,OFFSET(Spells!B$2,Build!AA618,0),"")</f>
        <v/>
      </c>
      <c r="D6" s="491"/>
      <c r="E6" s="491"/>
      <c r="F6" s="491"/>
      <c r="G6" s="491"/>
      <c r="H6" s="491"/>
      <c r="I6" s="491"/>
      <c r="J6" s="491"/>
      <c r="K6" s="491"/>
      <c r="L6" s="492" t="str">
        <f aca="true">IF(Build!AA618,OFFSET(Spells!C$2,Build!AA618,0),"")</f>
        <v/>
      </c>
      <c r="M6" s="492"/>
      <c r="N6" s="492" t="str">
        <f aca="true">IF(Build!AA618,OFFSET(Spells!D$2,Build!AA618,0),"")</f>
        <v/>
      </c>
      <c r="O6" s="492"/>
      <c r="P6" s="492" t="str">
        <f aca="true">IF(Build!AA618,OFFSET(Spells!E$2,Build!AA618,0),"")</f>
        <v/>
      </c>
      <c r="Q6" s="492"/>
      <c r="R6" s="492" t="str">
        <f aca="true">IF(Build!AA618,OFFSET(Spells!F$2,Build!AA618,0),"")</f>
        <v/>
      </c>
      <c r="S6" s="492"/>
      <c r="T6" s="492" t="str">
        <f aca="true">IF(Build!AA618,OFFSET(Spells!G$2,Build!AA618,0),"")</f>
        <v/>
      </c>
      <c r="U6" s="492"/>
      <c r="V6" s="492"/>
      <c r="W6" s="493" t="str">
        <f aca="true">IF(Build!AA618,OFFSET(Spells!I$2,Build!AA618,0),"")</f>
        <v/>
      </c>
      <c r="X6" s="493"/>
      <c r="Y6" s="493"/>
      <c r="Z6" s="497" t="str">
        <f aca="false">Build!AG618</f>
        <v>Effect</v>
      </c>
      <c r="AA6" s="497"/>
      <c r="AB6" s="49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IF(Build!AA619,OFFSET(Spells!B$2,Build!AA619,0),"")</f>
        <v/>
      </c>
      <c r="D7" s="491"/>
      <c r="E7" s="491"/>
      <c r="F7" s="491"/>
      <c r="G7" s="491"/>
      <c r="H7" s="491"/>
      <c r="I7" s="491"/>
      <c r="J7" s="491"/>
      <c r="K7" s="491"/>
      <c r="L7" s="492" t="str">
        <f aca="true">IF(Build!AA619,OFFSET(Spells!C$2,Build!AA619,0),"")</f>
        <v/>
      </c>
      <c r="M7" s="492"/>
      <c r="N7" s="492" t="str">
        <f aca="true">IF(Build!AA619,OFFSET(Spells!D$2,Build!AA619,0),"")</f>
        <v/>
      </c>
      <c r="O7" s="492"/>
      <c r="P7" s="492" t="str">
        <f aca="true">IF(Build!AA619,OFFSET(Spells!E$2,Build!AA619,0),"")</f>
        <v/>
      </c>
      <c r="Q7" s="492"/>
      <c r="R7" s="492" t="str">
        <f aca="true">IF(Build!AA619,OFFSET(Spells!F$2,Build!AA619,0),"")</f>
        <v/>
      </c>
      <c r="S7" s="492"/>
      <c r="T7" s="492" t="str">
        <f aca="true">IF(Build!AA619,OFFSET(Spells!G$2,Build!AA619,0),"")</f>
        <v/>
      </c>
      <c r="U7" s="492"/>
      <c r="V7" s="492"/>
      <c r="W7" s="493" t="str">
        <f aca="true">IF(Build!AA619,OFFSET(Spells!I$2,Build!AA619,0),"")</f>
        <v/>
      </c>
      <c r="X7" s="493"/>
      <c r="Y7" s="493"/>
      <c r="Z7" s="497" t="str">
        <f aca="false">Build!AG619</f>
        <v>Effect</v>
      </c>
      <c r="AA7" s="497"/>
      <c r="AB7" s="49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IF(Build!AA620,OFFSET(Spells!B$2,Build!AA620,0),"")</f>
        <v/>
      </c>
      <c r="D8" s="491"/>
      <c r="E8" s="491"/>
      <c r="F8" s="491"/>
      <c r="G8" s="491"/>
      <c r="H8" s="491"/>
      <c r="I8" s="491"/>
      <c r="J8" s="491"/>
      <c r="K8" s="491"/>
      <c r="L8" s="492" t="str">
        <f aca="true">IF(Build!AA620,OFFSET(Spells!C$2,Build!AA620,0),"")</f>
        <v/>
      </c>
      <c r="M8" s="492"/>
      <c r="N8" s="492" t="str">
        <f aca="true">IF(Build!AA620,OFFSET(Spells!D$2,Build!AA620,0),"")</f>
        <v/>
      </c>
      <c r="O8" s="492"/>
      <c r="P8" s="492" t="str">
        <f aca="true">IF(Build!AA620,OFFSET(Spells!E$2,Build!AA620,0),"")</f>
        <v/>
      </c>
      <c r="Q8" s="492"/>
      <c r="R8" s="492" t="str">
        <f aca="true">IF(Build!AA620,OFFSET(Spells!F$2,Build!AA620,0),"")</f>
        <v/>
      </c>
      <c r="S8" s="492"/>
      <c r="T8" s="492" t="str">
        <f aca="true">IF(Build!AA620,OFFSET(Spells!G$2,Build!AA620,0),"")</f>
        <v/>
      </c>
      <c r="U8" s="492"/>
      <c r="V8" s="492"/>
      <c r="W8" s="493" t="str">
        <f aca="true">IF(Build!AA620,OFFSET(Spells!I$2,Build!AA620,0),"")</f>
        <v/>
      </c>
      <c r="X8" s="493"/>
      <c r="Y8" s="493"/>
      <c r="Z8" s="497" t="str">
        <f aca="false">Build!AG620</f>
        <v>Effect</v>
      </c>
      <c r="AA8" s="497"/>
      <c r="AB8" s="49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IF(Build!AA621,OFFSET(Spells!B$2,Build!AA621,0),"")</f>
        <v/>
      </c>
      <c r="D9" s="491"/>
      <c r="E9" s="491"/>
      <c r="F9" s="491"/>
      <c r="G9" s="491"/>
      <c r="H9" s="491"/>
      <c r="I9" s="491"/>
      <c r="J9" s="491"/>
      <c r="K9" s="491"/>
      <c r="L9" s="492" t="str">
        <f aca="true">IF(Build!AA621,OFFSET(Spells!C$2,Build!AA621,0),"")</f>
        <v/>
      </c>
      <c r="M9" s="492"/>
      <c r="N9" s="492" t="str">
        <f aca="true">IF(Build!AA621,OFFSET(Spells!D$2,Build!AA621,0),"")</f>
        <v/>
      </c>
      <c r="O9" s="492"/>
      <c r="P9" s="492" t="str">
        <f aca="true">IF(Build!AA621,OFFSET(Spells!E$2,Build!AA621,0),"")</f>
        <v/>
      </c>
      <c r="Q9" s="492"/>
      <c r="R9" s="492" t="str">
        <f aca="true">IF(Build!AA621,OFFSET(Spells!F$2,Build!AA621,0),"")</f>
        <v/>
      </c>
      <c r="S9" s="492"/>
      <c r="T9" s="492" t="str">
        <f aca="true">IF(Build!AA621,OFFSET(Spells!G$2,Build!AA621,0),"")</f>
        <v/>
      </c>
      <c r="U9" s="492"/>
      <c r="V9" s="492"/>
      <c r="W9" s="493" t="str">
        <f aca="true">IF(Build!AA621,OFFSET(Spells!I$2,Build!AA621,0),"")</f>
        <v/>
      </c>
      <c r="X9" s="493"/>
      <c r="Y9" s="493"/>
      <c r="Z9" s="497" t="str">
        <f aca="false">Build!AG621</f>
        <v>Effect</v>
      </c>
      <c r="AA9" s="497"/>
      <c r="AB9" s="49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IF(Build!AA622,OFFSET(Spells!B$2,Build!AA622,0),"")</f>
        <v/>
      </c>
      <c r="D10" s="491"/>
      <c r="E10" s="491"/>
      <c r="F10" s="491"/>
      <c r="G10" s="491"/>
      <c r="H10" s="491"/>
      <c r="I10" s="491"/>
      <c r="J10" s="491"/>
      <c r="K10" s="491"/>
      <c r="L10" s="492" t="str">
        <f aca="true">IF(Build!AA622,OFFSET(Spells!C$2,Build!AA622,0),"")</f>
        <v/>
      </c>
      <c r="M10" s="492"/>
      <c r="N10" s="492" t="str">
        <f aca="true">IF(Build!AA622,OFFSET(Spells!D$2,Build!AA622,0),"")</f>
        <v/>
      </c>
      <c r="O10" s="492"/>
      <c r="P10" s="492" t="str">
        <f aca="true">IF(Build!AA622,OFFSET(Spells!E$2,Build!AA622,0),"")</f>
        <v/>
      </c>
      <c r="Q10" s="492"/>
      <c r="R10" s="492" t="str">
        <f aca="true">IF(Build!AA622,OFFSET(Spells!F$2,Build!AA622,0),"")</f>
        <v/>
      </c>
      <c r="S10" s="492"/>
      <c r="T10" s="492" t="str">
        <f aca="true">IF(Build!AA622,OFFSET(Spells!G$2,Build!AA622,0),"")</f>
        <v/>
      </c>
      <c r="U10" s="492"/>
      <c r="V10" s="492"/>
      <c r="W10" s="493" t="str">
        <f aca="true">IF(Build!AA622,OFFSET(Spells!I$2,Build!AA622,0),"")</f>
        <v/>
      </c>
      <c r="X10" s="493"/>
      <c r="Y10" s="493"/>
      <c r="Z10" s="497" t="str">
        <f aca="false">Build!AG622</f>
        <v>Effect</v>
      </c>
      <c r="AA10" s="497"/>
      <c r="AB10" s="49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IF(Build!AA623,OFFSET(Spells!B$2,Build!AA623,0),"")</f>
        <v/>
      </c>
      <c r="D11" s="491"/>
      <c r="E11" s="491"/>
      <c r="F11" s="491"/>
      <c r="G11" s="491"/>
      <c r="H11" s="491"/>
      <c r="I11" s="491"/>
      <c r="J11" s="491"/>
      <c r="K11" s="491"/>
      <c r="L11" s="492" t="str">
        <f aca="true">IF(Build!AA623,OFFSET(Spells!C$2,Build!AA623,0),"")</f>
        <v/>
      </c>
      <c r="M11" s="492"/>
      <c r="N11" s="492" t="str">
        <f aca="true">IF(Build!AA623,OFFSET(Spells!D$2,Build!AA623,0),"")</f>
        <v/>
      </c>
      <c r="O11" s="492"/>
      <c r="P11" s="492" t="str">
        <f aca="true">IF(Build!AA623,OFFSET(Spells!E$2,Build!AA623,0),"")</f>
        <v/>
      </c>
      <c r="Q11" s="492"/>
      <c r="R11" s="492" t="str">
        <f aca="true">IF(Build!AA623,OFFSET(Spells!F$2,Build!AA623,0),"")</f>
        <v/>
      </c>
      <c r="S11" s="492"/>
      <c r="T11" s="492" t="str">
        <f aca="true">IF(Build!AA623,OFFSET(Spells!G$2,Build!AA623,0),"")</f>
        <v/>
      </c>
      <c r="U11" s="492"/>
      <c r="V11" s="492"/>
      <c r="W11" s="493" t="str">
        <f aca="true">IF(Build!AA623,OFFSET(Spells!I$2,Build!AA623,0),"")</f>
        <v/>
      </c>
      <c r="X11" s="493"/>
      <c r="Y11" s="493"/>
      <c r="Z11" s="497" t="str">
        <f aca="false">Build!AG623</f>
        <v>Effect</v>
      </c>
      <c r="AA11" s="497"/>
      <c r="AB11" s="49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IF(Build!AA624,OFFSET(Spells!B$2,Build!AA624,0),"")</f>
        <v/>
      </c>
      <c r="D12" s="491"/>
      <c r="E12" s="491"/>
      <c r="F12" s="491"/>
      <c r="G12" s="491"/>
      <c r="H12" s="491"/>
      <c r="I12" s="491"/>
      <c r="J12" s="491"/>
      <c r="K12" s="491"/>
      <c r="L12" s="492" t="str">
        <f aca="true">IF(Build!AA624,OFFSET(Spells!C$2,Build!AA624,0),"")</f>
        <v/>
      </c>
      <c r="M12" s="492"/>
      <c r="N12" s="492" t="str">
        <f aca="true">IF(Build!AA624,OFFSET(Spells!D$2,Build!AA624,0),"")</f>
        <v/>
      </c>
      <c r="O12" s="492"/>
      <c r="P12" s="492" t="str">
        <f aca="true">IF(Build!AA624,OFFSET(Spells!E$2,Build!AA624,0),"")</f>
        <v/>
      </c>
      <c r="Q12" s="492"/>
      <c r="R12" s="492" t="str">
        <f aca="true">IF(Build!AA624,OFFSET(Spells!F$2,Build!AA624,0),"")</f>
        <v/>
      </c>
      <c r="S12" s="492"/>
      <c r="T12" s="492" t="str">
        <f aca="true">IF(Build!AA624,OFFSET(Spells!G$2,Build!AA624,0),"")</f>
        <v/>
      </c>
      <c r="U12" s="492"/>
      <c r="V12" s="492"/>
      <c r="W12" s="493" t="str">
        <f aca="true">IF(Build!AA624,OFFSET(Spells!I$2,Build!AA624,0),"")</f>
        <v/>
      </c>
      <c r="X12" s="493"/>
      <c r="Y12" s="493"/>
      <c r="Z12" s="497" t="str">
        <f aca="false">Build!AG624</f>
        <v>Effect</v>
      </c>
      <c r="AA12" s="497"/>
      <c r="AB12" s="49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IF(Build!AA625,OFFSET(Spells!B$2,Build!AA625,0),"")</f>
        <v/>
      </c>
      <c r="D13" s="491"/>
      <c r="E13" s="491"/>
      <c r="F13" s="491"/>
      <c r="G13" s="491"/>
      <c r="H13" s="491"/>
      <c r="I13" s="491"/>
      <c r="J13" s="491"/>
      <c r="K13" s="491"/>
      <c r="L13" s="492" t="str">
        <f aca="true">IF(Build!AA625,OFFSET(Spells!C$2,Build!AA625,0),"")</f>
        <v/>
      </c>
      <c r="M13" s="492"/>
      <c r="N13" s="492" t="str">
        <f aca="true">IF(Build!AA625,OFFSET(Spells!D$2,Build!AA625,0),"")</f>
        <v/>
      </c>
      <c r="O13" s="492"/>
      <c r="P13" s="492" t="str">
        <f aca="true">IF(Build!AA625,OFFSET(Spells!E$2,Build!AA625,0),"")</f>
        <v/>
      </c>
      <c r="Q13" s="492"/>
      <c r="R13" s="492" t="str">
        <f aca="true">IF(Build!AA625,OFFSET(Spells!F$2,Build!AA625,0),"")</f>
        <v/>
      </c>
      <c r="S13" s="492"/>
      <c r="T13" s="492" t="str">
        <f aca="true">IF(Build!AA625,OFFSET(Spells!G$2,Build!AA625,0),"")</f>
        <v/>
      </c>
      <c r="U13" s="492"/>
      <c r="V13" s="492"/>
      <c r="W13" s="493" t="str">
        <f aca="true">IF(Build!AA625,OFFSET(Spells!I$2,Build!AA625,0),"")</f>
        <v/>
      </c>
      <c r="X13" s="493"/>
      <c r="Y13" s="493"/>
      <c r="Z13" s="497" t="str">
        <f aca="false">Build!AG625</f>
        <v>Effect</v>
      </c>
      <c r="AA13" s="497"/>
      <c r="AB13" s="49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IF(Build!AA626,OFFSET(Spells!B$2,Build!AA626,0),"")</f>
        <v/>
      </c>
      <c r="D14" s="491"/>
      <c r="E14" s="491"/>
      <c r="F14" s="491"/>
      <c r="G14" s="491"/>
      <c r="H14" s="491"/>
      <c r="I14" s="491"/>
      <c r="J14" s="491"/>
      <c r="K14" s="491"/>
      <c r="L14" s="492" t="str">
        <f aca="true">IF(Build!AA626,OFFSET(Spells!C$2,Build!AA626,0),"")</f>
        <v/>
      </c>
      <c r="M14" s="492"/>
      <c r="N14" s="492" t="str">
        <f aca="true">IF(Build!AA626,OFFSET(Spells!D$2,Build!AA626,0),"")</f>
        <v/>
      </c>
      <c r="O14" s="492"/>
      <c r="P14" s="492" t="str">
        <f aca="true">IF(Build!AA626,OFFSET(Spells!E$2,Build!AA626,0),"")</f>
        <v/>
      </c>
      <c r="Q14" s="492"/>
      <c r="R14" s="492" t="str">
        <f aca="true">IF(Build!AA626,OFFSET(Spells!F$2,Build!AA626,0),"")</f>
        <v/>
      </c>
      <c r="S14" s="492"/>
      <c r="T14" s="492" t="str">
        <f aca="true">IF(Build!AA626,OFFSET(Spells!G$2,Build!AA626,0),"")</f>
        <v/>
      </c>
      <c r="U14" s="492"/>
      <c r="V14" s="492"/>
      <c r="W14" s="493" t="str">
        <f aca="true">IF(Build!AA626,OFFSET(Spells!I$2,Build!AA626,0),"")</f>
        <v/>
      </c>
      <c r="X14" s="493"/>
      <c r="Y14" s="493"/>
      <c r="Z14" s="497" t="str">
        <f aca="false">Build!AG626</f>
        <v>Effect</v>
      </c>
      <c r="AA14" s="497"/>
      <c r="AB14" s="49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IF(Build!AA627,OFFSET(Spells!B$2,Build!AA627,0),"")</f>
        <v/>
      </c>
      <c r="D15" s="491"/>
      <c r="E15" s="491"/>
      <c r="F15" s="491"/>
      <c r="G15" s="491"/>
      <c r="H15" s="491"/>
      <c r="I15" s="491"/>
      <c r="J15" s="491"/>
      <c r="K15" s="491"/>
      <c r="L15" s="492" t="str">
        <f aca="true">IF(Build!AA627,OFFSET(Spells!C$2,Build!AA627,0),"")</f>
        <v/>
      </c>
      <c r="M15" s="492"/>
      <c r="N15" s="492" t="str">
        <f aca="true">IF(Build!AA627,OFFSET(Spells!D$2,Build!AA627,0),"")</f>
        <v/>
      </c>
      <c r="O15" s="492"/>
      <c r="P15" s="492" t="str">
        <f aca="true">IF(Build!AA627,OFFSET(Spells!E$2,Build!AA627,0),"")</f>
        <v/>
      </c>
      <c r="Q15" s="492"/>
      <c r="R15" s="492" t="str">
        <f aca="true">IF(Build!AA627,OFFSET(Spells!F$2,Build!AA627,0),"")</f>
        <v/>
      </c>
      <c r="S15" s="492"/>
      <c r="T15" s="492" t="str">
        <f aca="true">IF(Build!AA627,OFFSET(Spells!G$2,Build!AA627,0),"")</f>
        <v/>
      </c>
      <c r="U15" s="492"/>
      <c r="V15" s="492"/>
      <c r="W15" s="493" t="str">
        <f aca="true">IF(Build!AA627,OFFSET(Spells!I$2,Build!AA627,0),"")</f>
        <v/>
      </c>
      <c r="X15" s="493"/>
      <c r="Y15" s="493"/>
      <c r="Z15" s="497" t="str">
        <f aca="false">Build!AG627</f>
        <v>Effect</v>
      </c>
      <c r="AA15" s="497"/>
      <c r="AB15" s="49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IF(Build!AA628,OFFSET(Spells!B$2,Build!AA628,0),"")</f>
        <v/>
      </c>
      <c r="D16" s="491"/>
      <c r="E16" s="491"/>
      <c r="F16" s="491"/>
      <c r="G16" s="491"/>
      <c r="H16" s="491"/>
      <c r="I16" s="491"/>
      <c r="J16" s="491"/>
      <c r="K16" s="491"/>
      <c r="L16" s="492" t="str">
        <f aca="true">IF(Build!AA628,OFFSET(Spells!C$2,Build!AA628,0),"")</f>
        <v/>
      </c>
      <c r="M16" s="492"/>
      <c r="N16" s="492" t="str">
        <f aca="true">IF(Build!AA628,OFFSET(Spells!D$2,Build!AA628,0),"")</f>
        <v/>
      </c>
      <c r="O16" s="492"/>
      <c r="P16" s="492" t="str">
        <f aca="true">IF(Build!AA628,OFFSET(Spells!E$2,Build!AA628,0),"")</f>
        <v/>
      </c>
      <c r="Q16" s="492"/>
      <c r="R16" s="492" t="str">
        <f aca="true">IF(Build!AA628,OFFSET(Spells!F$2,Build!AA628,0),"")</f>
        <v/>
      </c>
      <c r="S16" s="492"/>
      <c r="T16" s="492" t="str">
        <f aca="true">IF(Build!AA628,OFFSET(Spells!G$2,Build!AA628,0),"")</f>
        <v/>
      </c>
      <c r="U16" s="492"/>
      <c r="V16" s="492"/>
      <c r="W16" s="493" t="str">
        <f aca="true">IF(Build!AA628,OFFSET(Spells!I$2,Build!AA628,0),"")</f>
        <v/>
      </c>
      <c r="X16" s="493"/>
      <c r="Y16" s="493"/>
      <c r="Z16" s="497" t="str">
        <f aca="false">Build!AG628</f>
        <v>Effect</v>
      </c>
      <c r="AA16" s="497"/>
      <c r="AB16" s="49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IF(Build!AA629,OFFSET(Spells!B$2,Build!AA629,0),"")</f>
        <v/>
      </c>
      <c r="D17" s="491"/>
      <c r="E17" s="491"/>
      <c r="F17" s="491"/>
      <c r="G17" s="491"/>
      <c r="H17" s="491"/>
      <c r="I17" s="491"/>
      <c r="J17" s="491"/>
      <c r="K17" s="491"/>
      <c r="L17" s="492" t="str">
        <f aca="true">IF(Build!AA629,OFFSET(Spells!C$2,Build!AA629,0),"")</f>
        <v/>
      </c>
      <c r="M17" s="492"/>
      <c r="N17" s="492" t="str">
        <f aca="true">IF(Build!AA629,OFFSET(Spells!D$2,Build!AA629,0),"")</f>
        <v/>
      </c>
      <c r="O17" s="492"/>
      <c r="P17" s="492" t="str">
        <f aca="true">IF(Build!AA629,OFFSET(Spells!E$2,Build!AA629,0),"")</f>
        <v/>
      </c>
      <c r="Q17" s="492"/>
      <c r="R17" s="492" t="str">
        <f aca="true">IF(Build!AA629,OFFSET(Spells!F$2,Build!AA629,0),"")</f>
        <v/>
      </c>
      <c r="S17" s="492"/>
      <c r="T17" s="492" t="str">
        <f aca="true">IF(Build!AA629,OFFSET(Spells!G$2,Build!AA629,0),"")</f>
        <v/>
      </c>
      <c r="U17" s="492"/>
      <c r="V17" s="492"/>
      <c r="W17" s="493" t="str">
        <f aca="true">IF(Build!AA629,OFFSET(Spells!I$2,Build!AA629,0),"")</f>
        <v/>
      </c>
      <c r="X17" s="493"/>
      <c r="Y17" s="493"/>
      <c r="Z17" s="497" t="str">
        <f aca="false">Build!AG629</f>
        <v>Effect</v>
      </c>
      <c r="AA17" s="497"/>
      <c r="AB17" s="49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IF(Build!AA630,OFFSET(Spells!B$2,Build!AA630,0),"")</f>
        <v/>
      </c>
      <c r="D18" s="491"/>
      <c r="E18" s="491"/>
      <c r="F18" s="491"/>
      <c r="G18" s="491"/>
      <c r="H18" s="491"/>
      <c r="I18" s="491"/>
      <c r="J18" s="491"/>
      <c r="K18" s="491"/>
      <c r="L18" s="492" t="str">
        <f aca="true">IF(Build!AA630,OFFSET(Spells!C$2,Build!AA630,0),"")</f>
        <v/>
      </c>
      <c r="M18" s="492"/>
      <c r="N18" s="492" t="str">
        <f aca="true">IF(Build!AA630,OFFSET(Spells!D$2,Build!AA630,0),"")</f>
        <v/>
      </c>
      <c r="O18" s="492"/>
      <c r="P18" s="492" t="str">
        <f aca="true">IF(Build!AA630,OFFSET(Spells!E$2,Build!AA630,0),"")</f>
        <v/>
      </c>
      <c r="Q18" s="492"/>
      <c r="R18" s="492" t="str">
        <f aca="true">IF(Build!AA630,OFFSET(Spells!F$2,Build!AA630,0),"")</f>
        <v/>
      </c>
      <c r="S18" s="492"/>
      <c r="T18" s="492" t="str">
        <f aca="true">IF(Build!AA630,OFFSET(Spells!G$2,Build!AA630,0),"")</f>
        <v/>
      </c>
      <c r="U18" s="492"/>
      <c r="V18" s="492"/>
      <c r="W18" s="493" t="str">
        <f aca="true">IF(Build!AA630,OFFSET(Spells!I$2,Build!AA630,0),"")</f>
        <v/>
      </c>
      <c r="X18" s="493"/>
      <c r="Y18" s="493"/>
      <c r="Z18" s="497" t="str">
        <f aca="false">Build!AG630</f>
        <v>Effect</v>
      </c>
      <c r="AA18" s="497"/>
      <c r="AB18" s="49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IF(Build!AA631,OFFSET(Spells!B$2,Build!AA631,0),"")</f>
        <v/>
      </c>
      <c r="D19" s="491"/>
      <c r="E19" s="491"/>
      <c r="F19" s="491"/>
      <c r="G19" s="491"/>
      <c r="H19" s="491"/>
      <c r="I19" s="491"/>
      <c r="J19" s="491"/>
      <c r="K19" s="491"/>
      <c r="L19" s="492" t="str">
        <f aca="true">IF(Build!AA631,OFFSET(Spells!C$2,Build!AA631,0),"")</f>
        <v/>
      </c>
      <c r="M19" s="492"/>
      <c r="N19" s="492" t="str">
        <f aca="true">IF(Build!AA631,OFFSET(Spells!D$2,Build!AA631,0),"")</f>
        <v/>
      </c>
      <c r="O19" s="492"/>
      <c r="P19" s="492" t="str">
        <f aca="true">IF(Build!AA631,OFFSET(Spells!E$2,Build!AA631,0),"")</f>
        <v/>
      </c>
      <c r="Q19" s="492"/>
      <c r="R19" s="492" t="str">
        <f aca="true">IF(Build!AA631,OFFSET(Spells!F$2,Build!AA631,0),"")</f>
        <v/>
      </c>
      <c r="S19" s="492"/>
      <c r="T19" s="492" t="str">
        <f aca="true">IF(Build!AA631,OFFSET(Spells!G$2,Build!AA631,0),"")</f>
        <v/>
      </c>
      <c r="U19" s="492"/>
      <c r="V19" s="492"/>
      <c r="W19" s="493" t="str">
        <f aca="true">IF(Build!AA631,OFFSET(Spells!I$2,Build!AA631,0),"")</f>
        <v/>
      </c>
      <c r="X19" s="493"/>
      <c r="Y19" s="493"/>
      <c r="Z19" s="497" t="str">
        <f aca="false">Build!AG631</f>
        <v>Effect</v>
      </c>
      <c r="AA19" s="497"/>
      <c r="AB19" s="49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IF(Build!AA632,OFFSET(Spells!B$2,Build!AA632,0),"")</f>
        <v/>
      </c>
      <c r="D20" s="491"/>
      <c r="E20" s="491"/>
      <c r="F20" s="491"/>
      <c r="G20" s="491"/>
      <c r="H20" s="491"/>
      <c r="I20" s="491"/>
      <c r="J20" s="491"/>
      <c r="K20" s="491"/>
      <c r="L20" s="492" t="str">
        <f aca="true">IF(Build!AA632,OFFSET(Spells!C$2,Build!AA632,0),"")</f>
        <v/>
      </c>
      <c r="M20" s="492"/>
      <c r="N20" s="492" t="str">
        <f aca="true">IF(Build!AA632,OFFSET(Spells!D$2,Build!AA632,0),"")</f>
        <v/>
      </c>
      <c r="O20" s="492"/>
      <c r="P20" s="492" t="str">
        <f aca="true">IF(Build!AA632,OFFSET(Spells!E$2,Build!AA632,0),"")</f>
        <v/>
      </c>
      <c r="Q20" s="492"/>
      <c r="R20" s="492" t="str">
        <f aca="true">IF(Build!AA632,OFFSET(Spells!F$2,Build!AA632,0),"")</f>
        <v/>
      </c>
      <c r="S20" s="492"/>
      <c r="T20" s="492" t="str">
        <f aca="true">IF(Build!AA632,OFFSET(Spells!G$2,Build!AA632,0),"")</f>
        <v/>
      </c>
      <c r="U20" s="492"/>
      <c r="V20" s="492"/>
      <c r="W20" s="493" t="str">
        <f aca="true">IF(Build!AA632,OFFSET(Spells!I$2,Build!AA632,0),"")</f>
        <v/>
      </c>
      <c r="X20" s="493"/>
      <c r="Y20" s="493"/>
      <c r="Z20" s="497" t="str">
        <f aca="false">Build!AG632</f>
        <v>Effect</v>
      </c>
      <c r="AA20" s="497"/>
      <c r="AB20" s="49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IF(Build!AA633,OFFSET(Spells!B$2,Build!AA633,0),"")</f>
        <v/>
      </c>
      <c r="D21" s="491"/>
      <c r="E21" s="491"/>
      <c r="F21" s="491"/>
      <c r="G21" s="491"/>
      <c r="H21" s="491"/>
      <c r="I21" s="491"/>
      <c r="J21" s="491"/>
      <c r="K21" s="491"/>
      <c r="L21" s="492" t="str">
        <f aca="true">IF(Build!AA633,OFFSET(Spells!C$2,Build!AA633,0),"")</f>
        <v/>
      </c>
      <c r="M21" s="492"/>
      <c r="N21" s="492" t="str">
        <f aca="true">IF(Build!AA633,OFFSET(Spells!D$2,Build!AA633,0),"")</f>
        <v/>
      </c>
      <c r="O21" s="492"/>
      <c r="P21" s="492" t="str">
        <f aca="true">IF(Build!AA633,OFFSET(Spells!E$2,Build!AA633,0),"")</f>
        <v/>
      </c>
      <c r="Q21" s="492"/>
      <c r="R21" s="492" t="str">
        <f aca="true">IF(Build!AA633,OFFSET(Spells!F$2,Build!AA633,0),"")</f>
        <v/>
      </c>
      <c r="S21" s="492"/>
      <c r="T21" s="492" t="str">
        <f aca="true">IF(Build!AA633,OFFSET(Spells!G$2,Build!AA633,0),"")</f>
        <v/>
      </c>
      <c r="U21" s="492"/>
      <c r="V21" s="492"/>
      <c r="W21" s="493" t="str">
        <f aca="true">IF(Build!AA633,OFFSET(Spells!I$2,Build!AA633,0),"")</f>
        <v/>
      </c>
      <c r="X21" s="493"/>
      <c r="Y21" s="493"/>
      <c r="Z21" s="497" t="str">
        <f aca="false">Build!AG633</f>
        <v>Effect</v>
      </c>
      <c r="AA21" s="497"/>
      <c r="AB21" s="49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IF(Build!AA634,OFFSET(Spells!B$2,Build!AA634,0),"")</f>
        <v/>
      </c>
      <c r="D22" s="491"/>
      <c r="E22" s="491"/>
      <c r="F22" s="491"/>
      <c r="G22" s="491"/>
      <c r="H22" s="491"/>
      <c r="I22" s="491"/>
      <c r="J22" s="491"/>
      <c r="K22" s="491"/>
      <c r="L22" s="492" t="str">
        <f aca="true">IF(Build!AA634,OFFSET(Spells!C$2,Build!AA634,0),"")</f>
        <v/>
      </c>
      <c r="M22" s="492"/>
      <c r="N22" s="492" t="str">
        <f aca="true">IF(Build!AA634,OFFSET(Spells!D$2,Build!AA634,0),"")</f>
        <v/>
      </c>
      <c r="O22" s="492"/>
      <c r="P22" s="492" t="str">
        <f aca="true">IF(Build!AA634,OFFSET(Spells!E$2,Build!AA634,0),"")</f>
        <v/>
      </c>
      <c r="Q22" s="492"/>
      <c r="R22" s="492" t="str">
        <f aca="true">IF(Build!AA634,OFFSET(Spells!F$2,Build!AA634,0),"")</f>
        <v/>
      </c>
      <c r="S22" s="492"/>
      <c r="T22" s="492" t="str">
        <f aca="true">IF(Build!AA634,OFFSET(Spells!G$2,Build!AA634,0),"")</f>
        <v/>
      </c>
      <c r="U22" s="492"/>
      <c r="V22" s="492"/>
      <c r="W22" s="493" t="str">
        <f aca="true">IF(Build!AA634,OFFSET(Spells!I$2,Build!AA634,0),"")</f>
        <v/>
      </c>
      <c r="X22" s="493"/>
      <c r="Y22" s="493"/>
      <c r="Z22" s="497" t="str">
        <f aca="false">Build!AG634</f>
        <v>Effect</v>
      </c>
      <c r="AA22" s="497"/>
      <c r="AB22" s="49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IF(Build!AA635,OFFSET(Spells!B$2,Build!AA635,0),"")</f>
        <v/>
      </c>
      <c r="D23" s="491"/>
      <c r="E23" s="491"/>
      <c r="F23" s="491"/>
      <c r="G23" s="491"/>
      <c r="H23" s="491"/>
      <c r="I23" s="491"/>
      <c r="J23" s="491"/>
      <c r="K23" s="491"/>
      <c r="L23" s="492" t="str">
        <f aca="true">IF(Build!AA635,OFFSET(Spells!C$2,Build!AA635,0),"")</f>
        <v/>
      </c>
      <c r="M23" s="492"/>
      <c r="N23" s="492" t="str">
        <f aca="true">IF(Build!AA635,OFFSET(Spells!D$2,Build!AA635,0),"")</f>
        <v/>
      </c>
      <c r="O23" s="492"/>
      <c r="P23" s="492" t="str">
        <f aca="true">IF(Build!AA635,OFFSET(Spells!E$2,Build!AA635,0),"")</f>
        <v/>
      </c>
      <c r="Q23" s="492"/>
      <c r="R23" s="492" t="str">
        <f aca="true">IF(Build!AA635,OFFSET(Spells!F$2,Build!AA635,0),"")</f>
        <v/>
      </c>
      <c r="S23" s="492"/>
      <c r="T23" s="492" t="str">
        <f aca="true">IF(Build!AA635,OFFSET(Spells!G$2,Build!AA635,0),"")</f>
        <v/>
      </c>
      <c r="U23" s="492"/>
      <c r="V23" s="492"/>
      <c r="W23" s="493" t="str">
        <f aca="true">IF(Build!AA635,OFFSET(Spells!I$2,Build!AA635,0),"")</f>
        <v/>
      </c>
      <c r="X23" s="493"/>
      <c r="Y23" s="493"/>
      <c r="Z23" s="497" t="str">
        <f aca="false">Build!AG635</f>
        <v>Effect</v>
      </c>
      <c r="AA23" s="497"/>
      <c r="AB23" s="49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IF(Build!AA636,OFFSET(Spells!B$2,Build!AA636,0),"")</f>
        <v/>
      </c>
      <c r="D24" s="491"/>
      <c r="E24" s="491"/>
      <c r="F24" s="491"/>
      <c r="G24" s="491"/>
      <c r="H24" s="491"/>
      <c r="I24" s="491"/>
      <c r="J24" s="491"/>
      <c r="K24" s="491"/>
      <c r="L24" s="492" t="str">
        <f aca="true">IF(Build!AA636,OFFSET(Spells!C$2,Build!AA636,0),"")</f>
        <v/>
      </c>
      <c r="M24" s="492"/>
      <c r="N24" s="492" t="str">
        <f aca="true">IF(Build!AA636,OFFSET(Spells!D$2,Build!AA636,0),"")</f>
        <v/>
      </c>
      <c r="O24" s="492"/>
      <c r="P24" s="492" t="str">
        <f aca="true">IF(Build!AA636,OFFSET(Spells!E$2,Build!AA636,0),"")</f>
        <v/>
      </c>
      <c r="Q24" s="492"/>
      <c r="R24" s="492" t="str">
        <f aca="true">IF(Build!AA636,OFFSET(Spells!F$2,Build!AA636,0),"")</f>
        <v/>
      </c>
      <c r="S24" s="492"/>
      <c r="T24" s="492" t="str">
        <f aca="true">IF(Build!AA636,OFFSET(Spells!G$2,Build!AA636,0),"")</f>
        <v/>
      </c>
      <c r="U24" s="492"/>
      <c r="V24" s="492"/>
      <c r="W24" s="493" t="str">
        <f aca="true">IF(Build!AA636,OFFSET(Spells!I$2,Build!AA636,0),"")</f>
        <v/>
      </c>
      <c r="X24" s="493"/>
      <c r="Y24" s="493"/>
      <c r="Z24" s="497" t="str">
        <f aca="false">Build!AG636</f>
        <v>Effect</v>
      </c>
      <c r="AA24" s="497"/>
      <c r="AB24" s="49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IF(Build!AA637,OFFSET(Spells!B$2,Build!AA637,0),"")</f>
        <v/>
      </c>
      <c r="D25" s="491"/>
      <c r="E25" s="491"/>
      <c r="F25" s="491"/>
      <c r="G25" s="491"/>
      <c r="H25" s="491"/>
      <c r="I25" s="491"/>
      <c r="J25" s="491"/>
      <c r="K25" s="491"/>
      <c r="L25" s="492" t="str">
        <f aca="true">IF(Build!AA637,OFFSET(Spells!C$2,Build!AA637,0),"")</f>
        <v/>
      </c>
      <c r="M25" s="492"/>
      <c r="N25" s="492" t="str">
        <f aca="true">IF(Build!AA637,OFFSET(Spells!D$2,Build!AA637,0),"")</f>
        <v/>
      </c>
      <c r="O25" s="492"/>
      <c r="P25" s="492" t="str">
        <f aca="true">IF(Build!AA637,OFFSET(Spells!E$2,Build!AA637,0),"")</f>
        <v/>
      </c>
      <c r="Q25" s="492"/>
      <c r="R25" s="492" t="str">
        <f aca="true">IF(Build!AA637,OFFSET(Spells!F$2,Build!AA637,0),"")</f>
        <v/>
      </c>
      <c r="S25" s="492"/>
      <c r="T25" s="492" t="str">
        <f aca="true">IF(Build!AA637,OFFSET(Spells!G$2,Build!AA637,0),"")</f>
        <v/>
      </c>
      <c r="U25" s="492"/>
      <c r="V25" s="492"/>
      <c r="W25" s="493" t="str">
        <f aca="true">IF(Build!AA637,OFFSET(Spells!I$2,Build!AA637,0),"")</f>
        <v/>
      </c>
      <c r="X25" s="493"/>
      <c r="Y25" s="493"/>
      <c r="Z25" s="497" t="str">
        <f aca="false">Build!AG637</f>
        <v>Effect</v>
      </c>
      <c r="AA25" s="497"/>
      <c r="AB25" s="49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IF(Build!AA638,OFFSET(Spells!B$2,Build!AA638,0),"")</f>
        <v/>
      </c>
      <c r="D26" s="491"/>
      <c r="E26" s="491"/>
      <c r="F26" s="491"/>
      <c r="G26" s="491"/>
      <c r="H26" s="491"/>
      <c r="I26" s="491"/>
      <c r="J26" s="491"/>
      <c r="K26" s="491"/>
      <c r="L26" s="492" t="str">
        <f aca="true">IF(Build!AA638,OFFSET(Spells!C$2,Build!AA638,0),"")</f>
        <v/>
      </c>
      <c r="M26" s="492"/>
      <c r="N26" s="492" t="str">
        <f aca="true">IF(Build!AA638,OFFSET(Spells!D$2,Build!AA638,0),"")</f>
        <v/>
      </c>
      <c r="O26" s="492"/>
      <c r="P26" s="492" t="str">
        <f aca="true">IF(Build!AA638,OFFSET(Spells!E$2,Build!AA638,0),"")</f>
        <v/>
      </c>
      <c r="Q26" s="492"/>
      <c r="R26" s="492" t="str">
        <f aca="true">IF(Build!AA638,OFFSET(Spells!F$2,Build!AA638,0),"")</f>
        <v/>
      </c>
      <c r="S26" s="492"/>
      <c r="T26" s="492" t="str">
        <f aca="true">IF(Build!AA638,OFFSET(Spells!G$2,Build!AA638,0),"")</f>
        <v/>
      </c>
      <c r="U26" s="492"/>
      <c r="V26" s="492"/>
      <c r="W26" s="493" t="str">
        <f aca="true">IF(Build!AA638,OFFSET(Spells!I$2,Build!AA638,0),"")</f>
        <v/>
      </c>
      <c r="X26" s="493"/>
      <c r="Y26" s="493"/>
      <c r="Z26" s="497" t="str">
        <f aca="false">Build!AG638</f>
        <v>Effect</v>
      </c>
      <c r="AA26" s="497"/>
      <c r="AB26" s="49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IF(Build!AA639,OFFSET(Spells!B$2,Build!AA639,0),"")</f>
        <v/>
      </c>
      <c r="D27" s="491"/>
      <c r="E27" s="491"/>
      <c r="F27" s="491"/>
      <c r="G27" s="491"/>
      <c r="H27" s="491"/>
      <c r="I27" s="491"/>
      <c r="J27" s="491"/>
      <c r="K27" s="491"/>
      <c r="L27" s="492" t="str">
        <f aca="true">IF(Build!AA639,OFFSET(Spells!C$2,Build!AA639,0),"")</f>
        <v/>
      </c>
      <c r="M27" s="492"/>
      <c r="N27" s="492" t="str">
        <f aca="true">IF(Build!AA639,OFFSET(Spells!D$2,Build!AA639,0),"")</f>
        <v/>
      </c>
      <c r="O27" s="492"/>
      <c r="P27" s="492" t="str">
        <f aca="true">IF(Build!AA639,OFFSET(Spells!E$2,Build!AA639,0),"")</f>
        <v/>
      </c>
      <c r="Q27" s="492"/>
      <c r="R27" s="492" t="str">
        <f aca="true">IF(Build!AA639,OFFSET(Spells!F$2,Build!AA639,0),"")</f>
        <v/>
      </c>
      <c r="S27" s="492"/>
      <c r="T27" s="492" t="str">
        <f aca="true">IF(Build!AA639,OFFSET(Spells!G$2,Build!AA639,0),"")</f>
        <v/>
      </c>
      <c r="U27" s="492"/>
      <c r="V27" s="492"/>
      <c r="W27" s="493" t="str">
        <f aca="true">IF(Build!AA639,OFFSET(Spells!I$2,Build!AA639,0),"")</f>
        <v/>
      </c>
      <c r="X27" s="493"/>
      <c r="Y27" s="493"/>
      <c r="Z27" s="497" t="str">
        <f aca="false">Build!AG639</f>
        <v>Effect</v>
      </c>
      <c r="AA27" s="497"/>
      <c r="AB27" s="49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IF(Build!AA640,OFFSET(Spells!B$2,Build!AA640,0),"")</f>
        <v/>
      </c>
      <c r="D28" s="491"/>
      <c r="E28" s="491"/>
      <c r="F28" s="491"/>
      <c r="G28" s="491"/>
      <c r="H28" s="491"/>
      <c r="I28" s="491"/>
      <c r="J28" s="491"/>
      <c r="K28" s="491"/>
      <c r="L28" s="492" t="str">
        <f aca="true">IF(Build!AA640,OFFSET(Spells!C$2,Build!AA640,0),"")</f>
        <v/>
      </c>
      <c r="M28" s="492"/>
      <c r="N28" s="492" t="str">
        <f aca="true">IF(Build!AA640,OFFSET(Spells!D$2,Build!AA640,0),"")</f>
        <v/>
      </c>
      <c r="O28" s="492"/>
      <c r="P28" s="492" t="str">
        <f aca="true">IF(Build!AA640,OFFSET(Spells!E$2,Build!AA640,0),"")</f>
        <v/>
      </c>
      <c r="Q28" s="492"/>
      <c r="R28" s="492" t="str">
        <f aca="true">IF(Build!AA640,OFFSET(Spells!F$2,Build!AA640,0),"")</f>
        <v/>
      </c>
      <c r="S28" s="492"/>
      <c r="T28" s="492" t="str">
        <f aca="true">IF(Build!AA640,OFFSET(Spells!G$2,Build!AA640,0),"")</f>
        <v/>
      </c>
      <c r="U28" s="492"/>
      <c r="V28" s="492"/>
      <c r="W28" s="493" t="str">
        <f aca="true">IF(Build!AA640,OFFSET(Spells!I$2,Build!AA640,0),"")</f>
        <v/>
      </c>
      <c r="X28" s="493"/>
      <c r="Y28" s="493"/>
      <c r="Z28" s="497" t="str">
        <f aca="false">Build!AG640</f>
        <v>Effect</v>
      </c>
      <c r="AA28" s="497"/>
      <c r="AB28" s="49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IF(Build!AA641,OFFSET(Spells!B$2,Build!AA641,0),"")</f>
        <v/>
      </c>
      <c r="D29" s="491"/>
      <c r="E29" s="491"/>
      <c r="F29" s="491"/>
      <c r="G29" s="491"/>
      <c r="H29" s="491"/>
      <c r="I29" s="491"/>
      <c r="J29" s="491"/>
      <c r="K29" s="491"/>
      <c r="L29" s="492" t="str">
        <f aca="true">IF(Build!AA641,OFFSET(Spells!C$2,Build!AA641,0),"")</f>
        <v/>
      </c>
      <c r="M29" s="492"/>
      <c r="N29" s="492" t="str">
        <f aca="true">IF(Build!AA641,OFFSET(Spells!D$2,Build!AA641,0),"")</f>
        <v/>
      </c>
      <c r="O29" s="492"/>
      <c r="P29" s="492" t="str">
        <f aca="true">IF(Build!AA641,OFFSET(Spells!E$2,Build!AA641,0),"")</f>
        <v/>
      </c>
      <c r="Q29" s="492"/>
      <c r="R29" s="492" t="str">
        <f aca="true">IF(Build!AA641,OFFSET(Spells!F$2,Build!AA641,0),"")</f>
        <v/>
      </c>
      <c r="S29" s="492"/>
      <c r="T29" s="492" t="str">
        <f aca="true">IF(Build!AA641,OFFSET(Spells!G$2,Build!AA641,0),"")</f>
        <v/>
      </c>
      <c r="U29" s="492"/>
      <c r="V29" s="492"/>
      <c r="W29" s="493" t="str">
        <f aca="true">IF(Build!AA641,OFFSET(Spells!I$2,Build!AA641,0),"")</f>
        <v/>
      </c>
      <c r="X29" s="493"/>
      <c r="Y29" s="493"/>
      <c r="Z29" s="497" t="str">
        <f aca="false">Build!AG641</f>
        <v>Effect</v>
      </c>
      <c r="AA29" s="497"/>
      <c r="AB29" s="49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IF(Build!AA642,OFFSET(Spells!B$2,Build!AA642,0),"")</f>
        <v/>
      </c>
      <c r="D30" s="491"/>
      <c r="E30" s="491"/>
      <c r="F30" s="491"/>
      <c r="G30" s="491"/>
      <c r="H30" s="491"/>
      <c r="I30" s="491"/>
      <c r="J30" s="491"/>
      <c r="K30" s="491"/>
      <c r="L30" s="492" t="str">
        <f aca="true">IF(Build!AA642,OFFSET(Spells!C$2,Build!AA642,0),"")</f>
        <v/>
      </c>
      <c r="M30" s="492"/>
      <c r="N30" s="492" t="str">
        <f aca="true">IF(Build!AA642,OFFSET(Spells!D$2,Build!AA642,0),"")</f>
        <v/>
      </c>
      <c r="O30" s="492"/>
      <c r="P30" s="492" t="str">
        <f aca="true">IF(Build!AA642,OFFSET(Spells!E$2,Build!AA642,0),"")</f>
        <v/>
      </c>
      <c r="Q30" s="492"/>
      <c r="R30" s="492" t="str">
        <f aca="true">IF(Build!AA642,OFFSET(Spells!F$2,Build!AA642,0),"")</f>
        <v/>
      </c>
      <c r="S30" s="492"/>
      <c r="T30" s="492" t="str">
        <f aca="true">IF(Build!AA642,OFFSET(Spells!G$2,Build!AA642,0),"")</f>
        <v/>
      </c>
      <c r="U30" s="492"/>
      <c r="V30" s="492"/>
      <c r="W30" s="493" t="str">
        <f aca="true">IF(Build!AA642,OFFSET(Spells!I$2,Build!AA642,0),"")</f>
        <v/>
      </c>
      <c r="X30" s="493"/>
      <c r="Y30" s="493"/>
      <c r="Z30" s="497" t="str">
        <f aca="false">Build!AG642</f>
        <v>Effect</v>
      </c>
      <c r="AA30" s="497"/>
      <c r="AB30" s="49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IF(Build!AA643,OFFSET(Spells!B$2,Build!AA643,0),"")</f>
        <v/>
      </c>
      <c r="D31" s="491"/>
      <c r="E31" s="491"/>
      <c r="F31" s="491"/>
      <c r="G31" s="491"/>
      <c r="H31" s="491"/>
      <c r="I31" s="491"/>
      <c r="J31" s="491"/>
      <c r="K31" s="491"/>
      <c r="L31" s="492" t="str">
        <f aca="true">IF(Build!AA643,OFFSET(Spells!C$2,Build!AA643,0),"")</f>
        <v/>
      </c>
      <c r="M31" s="492"/>
      <c r="N31" s="492" t="str">
        <f aca="true">IF(Build!AA643,OFFSET(Spells!D$2,Build!AA643,0),"")</f>
        <v/>
      </c>
      <c r="O31" s="492"/>
      <c r="P31" s="492" t="str">
        <f aca="true">IF(Build!AA643,OFFSET(Spells!E$2,Build!AA643,0),"")</f>
        <v/>
      </c>
      <c r="Q31" s="492"/>
      <c r="R31" s="492" t="str">
        <f aca="true">IF(Build!AA643,OFFSET(Spells!F$2,Build!AA643,0),"")</f>
        <v/>
      </c>
      <c r="S31" s="492"/>
      <c r="T31" s="492" t="str">
        <f aca="true">IF(Build!AA643,OFFSET(Spells!G$2,Build!AA643,0),"")</f>
        <v/>
      </c>
      <c r="U31" s="492"/>
      <c r="V31" s="492"/>
      <c r="W31" s="493" t="str">
        <f aca="true">IF(Build!AA643,OFFSET(Spells!I$2,Build!AA643,0),"")</f>
        <v/>
      </c>
      <c r="X31" s="493"/>
      <c r="Y31" s="493"/>
      <c r="Z31" s="497" t="str">
        <f aca="false">Build!AG643</f>
        <v>Effect</v>
      </c>
      <c r="AA31" s="497"/>
      <c r="AB31" s="49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IF(Build!AA644,OFFSET(Spells!B$2,Build!AA644,0),"")</f>
        <v/>
      </c>
      <c r="D32" s="491"/>
      <c r="E32" s="491"/>
      <c r="F32" s="491"/>
      <c r="G32" s="491"/>
      <c r="H32" s="491"/>
      <c r="I32" s="491"/>
      <c r="J32" s="491"/>
      <c r="K32" s="491"/>
      <c r="L32" s="492" t="str">
        <f aca="true">IF(Build!AA644,OFFSET(Spells!C$2,Build!AA644,0),"")</f>
        <v/>
      </c>
      <c r="M32" s="492"/>
      <c r="N32" s="492" t="str">
        <f aca="true">IF(Build!AA644,OFFSET(Spells!D$2,Build!AA644,0),"")</f>
        <v/>
      </c>
      <c r="O32" s="492"/>
      <c r="P32" s="492" t="str">
        <f aca="true">IF(Build!AA644,OFFSET(Spells!E$2,Build!AA644,0),"")</f>
        <v/>
      </c>
      <c r="Q32" s="492"/>
      <c r="R32" s="492" t="str">
        <f aca="true">IF(Build!AA644,OFFSET(Spells!F$2,Build!AA644,0),"")</f>
        <v/>
      </c>
      <c r="S32" s="492"/>
      <c r="T32" s="492" t="str">
        <f aca="true">IF(Build!AA644,OFFSET(Spells!G$2,Build!AA644,0),"")</f>
        <v/>
      </c>
      <c r="U32" s="492"/>
      <c r="V32" s="492"/>
      <c r="W32" s="493" t="str">
        <f aca="true">IF(Build!AA644,OFFSET(Spells!I$2,Build!AA644,0),"")</f>
        <v/>
      </c>
      <c r="X32" s="493"/>
      <c r="Y32" s="493"/>
      <c r="Z32" s="497" t="str">
        <f aca="false">Build!AG644</f>
        <v>Effect</v>
      </c>
      <c r="AA32" s="497"/>
      <c r="AB32" s="49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IF(Build!AA645,OFFSET(Spells!B$2,Build!AA645,0),"")</f>
        <v/>
      </c>
      <c r="D33" s="491"/>
      <c r="E33" s="491"/>
      <c r="F33" s="491"/>
      <c r="G33" s="491"/>
      <c r="H33" s="491"/>
      <c r="I33" s="491"/>
      <c r="J33" s="491"/>
      <c r="K33" s="491"/>
      <c r="L33" s="492" t="str">
        <f aca="true">IF(Build!AA645,OFFSET(Spells!C$2,Build!AA645,0),"")</f>
        <v/>
      </c>
      <c r="M33" s="492"/>
      <c r="N33" s="492" t="str">
        <f aca="true">IF(Build!AA645,OFFSET(Spells!D$2,Build!AA645,0),"")</f>
        <v/>
      </c>
      <c r="O33" s="492"/>
      <c r="P33" s="492" t="str">
        <f aca="true">IF(Build!AA645,OFFSET(Spells!E$2,Build!AA645,0),"")</f>
        <v/>
      </c>
      <c r="Q33" s="492"/>
      <c r="R33" s="492" t="str">
        <f aca="true">IF(Build!AA645,OFFSET(Spells!F$2,Build!AA645,0),"")</f>
        <v/>
      </c>
      <c r="S33" s="492"/>
      <c r="T33" s="492" t="str">
        <f aca="true">IF(Build!AA645,OFFSET(Spells!G$2,Build!AA645,0),"")</f>
        <v/>
      </c>
      <c r="U33" s="492"/>
      <c r="V33" s="492"/>
      <c r="W33" s="493" t="str">
        <f aca="true">IF(Build!AA645,OFFSET(Spells!I$2,Build!AA645,0),"")</f>
        <v/>
      </c>
      <c r="X33" s="493"/>
      <c r="Y33" s="493"/>
      <c r="Z33" s="497" t="str">
        <f aca="false">Build!AG645</f>
        <v>Effect</v>
      </c>
      <c r="AA33" s="497"/>
      <c r="AB33" s="49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IF(Build!AA646,OFFSET(Spells!B$2,Build!AA646,0),"")</f>
        <v/>
      </c>
      <c r="D34" s="491"/>
      <c r="E34" s="491"/>
      <c r="F34" s="491"/>
      <c r="G34" s="491"/>
      <c r="H34" s="491"/>
      <c r="I34" s="491"/>
      <c r="J34" s="491"/>
      <c r="K34" s="491"/>
      <c r="L34" s="492" t="str">
        <f aca="true">IF(Build!AA646,OFFSET(Spells!C$2,Build!AA646,0),"")</f>
        <v/>
      </c>
      <c r="M34" s="492"/>
      <c r="N34" s="492" t="str">
        <f aca="true">IF(Build!AA646,OFFSET(Spells!D$2,Build!AA646,0),"")</f>
        <v/>
      </c>
      <c r="O34" s="492"/>
      <c r="P34" s="492" t="str">
        <f aca="true">IF(Build!AA646,OFFSET(Spells!E$2,Build!AA646,0),"")</f>
        <v/>
      </c>
      <c r="Q34" s="492"/>
      <c r="R34" s="492" t="str">
        <f aca="true">IF(Build!AA646,OFFSET(Spells!F$2,Build!AA646,0),"")</f>
        <v/>
      </c>
      <c r="S34" s="492"/>
      <c r="T34" s="492" t="str">
        <f aca="true">IF(Build!AA646,OFFSET(Spells!G$2,Build!AA646,0),"")</f>
        <v/>
      </c>
      <c r="U34" s="492"/>
      <c r="V34" s="492"/>
      <c r="W34" s="493" t="str">
        <f aca="true">IF(Build!AA646,OFFSET(Spells!I$2,Build!AA646,0),"")</f>
        <v/>
      </c>
      <c r="X34" s="493"/>
      <c r="Y34" s="493"/>
      <c r="Z34" s="497" t="str">
        <f aca="false">Build!AG646</f>
        <v>Effect</v>
      </c>
      <c r="AA34" s="497"/>
      <c r="AB34" s="49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IF(Build!AA647,OFFSET(Spells!B$2,Build!AA647,0),"")</f>
        <v/>
      </c>
      <c r="D35" s="491"/>
      <c r="E35" s="491"/>
      <c r="F35" s="491"/>
      <c r="G35" s="491"/>
      <c r="H35" s="491"/>
      <c r="I35" s="491"/>
      <c r="J35" s="491"/>
      <c r="K35" s="491"/>
      <c r="L35" s="492" t="str">
        <f aca="true">IF(Build!AA647,OFFSET(Spells!C$2,Build!AA647,0),"")</f>
        <v/>
      </c>
      <c r="M35" s="492"/>
      <c r="N35" s="492" t="str">
        <f aca="true">IF(Build!AA647,OFFSET(Spells!D$2,Build!AA647,0),"")</f>
        <v/>
      </c>
      <c r="O35" s="492"/>
      <c r="P35" s="492" t="str">
        <f aca="true">IF(Build!AA647,OFFSET(Spells!E$2,Build!AA647,0),"")</f>
        <v/>
      </c>
      <c r="Q35" s="492"/>
      <c r="R35" s="492" t="str">
        <f aca="true">IF(Build!AA647,OFFSET(Spells!F$2,Build!AA647,0),"")</f>
        <v/>
      </c>
      <c r="S35" s="492"/>
      <c r="T35" s="492" t="str">
        <f aca="true">IF(Build!AA647,OFFSET(Spells!G$2,Build!AA647,0),"")</f>
        <v/>
      </c>
      <c r="U35" s="492"/>
      <c r="V35" s="492"/>
      <c r="W35" s="493" t="str">
        <f aca="true">IF(Build!AA647,OFFSET(Spells!I$2,Build!AA647,0),"")</f>
        <v/>
      </c>
      <c r="X35" s="493"/>
      <c r="Y35" s="493"/>
      <c r="Z35" s="497" t="str">
        <f aca="false">Build!AG647</f>
        <v>Effect</v>
      </c>
      <c r="AA35" s="497"/>
      <c r="AB35" s="49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IF(Build!AA648,OFFSET(Spells!B$2,Build!AA648,0),"")</f>
        <v/>
      </c>
      <c r="D36" s="491"/>
      <c r="E36" s="491"/>
      <c r="F36" s="491"/>
      <c r="G36" s="491"/>
      <c r="H36" s="491"/>
      <c r="I36" s="491"/>
      <c r="J36" s="491"/>
      <c r="K36" s="491"/>
      <c r="L36" s="492" t="str">
        <f aca="true">IF(Build!AA648,OFFSET(Spells!C$2,Build!AA648,0),"")</f>
        <v/>
      </c>
      <c r="M36" s="492"/>
      <c r="N36" s="492" t="str">
        <f aca="true">IF(Build!AA648,OFFSET(Spells!D$2,Build!AA648,0),"")</f>
        <v/>
      </c>
      <c r="O36" s="492"/>
      <c r="P36" s="492" t="str">
        <f aca="true">IF(Build!AA648,OFFSET(Spells!E$2,Build!AA648,0),"")</f>
        <v/>
      </c>
      <c r="Q36" s="492"/>
      <c r="R36" s="492" t="str">
        <f aca="true">IF(Build!AA648,OFFSET(Spells!F$2,Build!AA648,0),"")</f>
        <v/>
      </c>
      <c r="S36" s="492"/>
      <c r="T36" s="492" t="str">
        <f aca="true">IF(Build!AA648,OFFSET(Spells!G$2,Build!AA648,0),"")</f>
        <v/>
      </c>
      <c r="U36" s="492"/>
      <c r="V36" s="492"/>
      <c r="W36" s="493" t="str">
        <f aca="true">IF(Build!AA648,OFFSET(Spells!I$2,Build!AA648,0),"")</f>
        <v/>
      </c>
      <c r="X36" s="493"/>
      <c r="Y36" s="493"/>
      <c r="Z36" s="497" t="str">
        <f aca="false">Build!AG648</f>
        <v>Effect</v>
      </c>
      <c r="AA36" s="497"/>
      <c r="AB36" s="49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IF(Build!AA649,OFFSET(Spells!B$2,Build!AA649,0),"")</f>
        <v/>
      </c>
      <c r="D37" s="491"/>
      <c r="E37" s="491"/>
      <c r="F37" s="491"/>
      <c r="G37" s="491"/>
      <c r="H37" s="491"/>
      <c r="I37" s="491"/>
      <c r="J37" s="491"/>
      <c r="K37" s="491"/>
      <c r="L37" s="492" t="str">
        <f aca="true">IF(Build!AA649,OFFSET(Spells!C$2,Build!AA649,0),"")</f>
        <v/>
      </c>
      <c r="M37" s="492"/>
      <c r="N37" s="492" t="str">
        <f aca="true">IF(Build!AA649,OFFSET(Spells!D$2,Build!AA649,0),"")</f>
        <v/>
      </c>
      <c r="O37" s="492"/>
      <c r="P37" s="492" t="str">
        <f aca="true">IF(Build!AA649,OFFSET(Spells!E$2,Build!AA649,0),"")</f>
        <v/>
      </c>
      <c r="Q37" s="492"/>
      <c r="R37" s="492" t="str">
        <f aca="true">IF(Build!AA649,OFFSET(Spells!F$2,Build!AA649,0),"")</f>
        <v/>
      </c>
      <c r="S37" s="492"/>
      <c r="T37" s="492" t="str">
        <f aca="true">IF(Build!AA649,OFFSET(Spells!G$2,Build!AA649,0),"")</f>
        <v/>
      </c>
      <c r="U37" s="492"/>
      <c r="V37" s="492"/>
      <c r="W37" s="493" t="str">
        <f aca="true">IF(Build!AA649,OFFSET(Spells!I$2,Build!AA649,0),"")</f>
        <v/>
      </c>
      <c r="X37" s="493"/>
      <c r="Y37" s="493"/>
      <c r="Z37" s="497" t="str">
        <f aca="false">Build!AG649</f>
        <v>Effect</v>
      </c>
      <c r="AA37" s="497"/>
      <c r="AB37" s="49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IF(Build!AA650,OFFSET(Spells!B$2,Build!AA650,0),"")</f>
        <v/>
      </c>
      <c r="D38" s="491"/>
      <c r="E38" s="491"/>
      <c r="F38" s="491"/>
      <c r="G38" s="491"/>
      <c r="H38" s="491"/>
      <c r="I38" s="491"/>
      <c r="J38" s="491"/>
      <c r="K38" s="491"/>
      <c r="L38" s="492" t="str">
        <f aca="true">IF(Build!AA650,OFFSET(Spells!C$2,Build!AA650,0),"")</f>
        <v/>
      </c>
      <c r="M38" s="492"/>
      <c r="N38" s="492" t="str">
        <f aca="true">IF(Build!AA650,OFFSET(Spells!D$2,Build!AA650,0),"")</f>
        <v/>
      </c>
      <c r="O38" s="492"/>
      <c r="P38" s="492" t="str">
        <f aca="true">IF(Build!AA650,OFFSET(Spells!E$2,Build!AA650,0),"")</f>
        <v/>
      </c>
      <c r="Q38" s="492"/>
      <c r="R38" s="492" t="str">
        <f aca="true">IF(Build!AA650,OFFSET(Spells!F$2,Build!AA650,0),"")</f>
        <v/>
      </c>
      <c r="S38" s="492"/>
      <c r="T38" s="492" t="str">
        <f aca="true">IF(Build!AA650,OFFSET(Spells!G$2,Build!AA650,0),"")</f>
        <v/>
      </c>
      <c r="U38" s="492"/>
      <c r="V38" s="492"/>
      <c r="W38" s="493" t="str">
        <f aca="true">IF(Build!AA650,OFFSET(Spells!I$2,Build!AA650,0),"")</f>
        <v/>
      </c>
      <c r="X38" s="493"/>
      <c r="Y38" s="493"/>
      <c r="Z38" s="497" t="str">
        <f aca="false">Build!AG650</f>
        <v>Effect</v>
      </c>
      <c r="AA38" s="497"/>
      <c r="AB38" s="49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IF(Build!AA651,OFFSET(Spells!B$2,Build!AA651,0),"")</f>
        <v/>
      </c>
      <c r="D39" s="491"/>
      <c r="E39" s="491"/>
      <c r="F39" s="491"/>
      <c r="G39" s="491"/>
      <c r="H39" s="491"/>
      <c r="I39" s="491"/>
      <c r="J39" s="491"/>
      <c r="K39" s="491"/>
      <c r="L39" s="492" t="str">
        <f aca="true">IF(Build!AA651,OFFSET(Spells!C$2,Build!AA651,0),"")</f>
        <v/>
      </c>
      <c r="M39" s="492"/>
      <c r="N39" s="492" t="str">
        <f aca="true">IF(Build!AA651,OFFSET(Spells!D$2,Build!AA651,0),"")</f>
        <v/>
      </c>
      <c r="O39" s="492"/>
      <c r="P39" s="492" t="str">
        <f aca="true">IF(Build!AA651,OFFSET(Spells!E$2,Build!AA651,0),"")</f>
        <v/>
      </c>
      <c r="Q39" s="492"/>
      <c r="R39" s="492" t="str">
        <f aca="true">IF(Build!AA651,OFFSET(Spells!F$2,Build!AA651,0),"")</f>
        <v/>
      </c>
      <c r="S39" s="492"/>
      <c r="T39" s="492" t="str">
        <f aca="true">IF(Build!AA651,OFFSET(Spells!G$2,Build!AA651,0),"")</f>
        <v/>
      </c>
      <c r="U39" s="492"/>
      <c r="V39" s="492"/>
      <c r="W39" s="493" t="str">
        <f aca="true">IF(Build!AA651,OFFSET(Spells!I$2,Build!AA651,0),"")</f>
        <v/>
      </c>
      <c r="X39" s="493"/>
      <c r="Y39" s="493"/>
      <c r="Z39" s="497" t="str">
        <f aca="false">Build!AG651</f>
        <v>Effect</v>
      </c>
      <c r="AA39" s="497"/>
      <c r="AB39" s="49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IF(Build!AA652,OFFSET(Spells!B$2,Build!AA652,0),"")</f>
        <v/>
      </c>
      <c r="D40" s="491"/>
      <c r="E40" s="491"/>
      <c r="F40" s="491"/>
      <c r="G40" s="491"/>
      <c r="H40" s="491"/>
      <c r="I40" s="491"/>
      <c r="J40" s="491"/>
      <c r="K40" s="491"/>
      <c r="L40" s="492" t="str">
        <f aca="true">IF(Build!AA652,OFFSET(Spells!C$2,Build!AA652,0),"")</f>
        <v/>
      </c>
      <c r="M40" s="492"/>
      <c r="N40" s="492" t="str">
        <f aca="true">IF(Build!AA652,OFFSET(Spells!D$2,Build!AA652,0),"")</f>
        <v/>
      </c>
      <c r="O40" s="492"/>
      <c r="P40" s="492" t="str">
        <f aca="true">IF(Build!AA652,OFFSET(Spells!E$2,Build!AA652,0),"")</f>
        <v/>
      </c>
      <c r="Q40" s="492"/>
      <c r="R40" s="492" t="str">
        <f aca="true">IF(Build!AA652,OFFSET(Spells!F$2,Build!AA652,0),"")</f>
        <v/>
      </c>
      <c r="S40" s="492"/>
      <c r="T40" s="492" t="str">
        <f aca="true">IF(Build!AA652,OFFSET(Spells!G$2,Build!AA652,0),"")</f>
        <v/>
      </c>
      <c r="U40" s="492"/>
      <c r="V40" s="492"/>
      <c r="W40" s="493" t="str">
        <f aca="true">IF(Build!AA652,OFFSET(Spells!I$2,Build!AA652,0),"")</f>
        <v/>
      </c>
      <c r="X40" s="493"/>
      <c r="Y40" s="493"/>
      <c r="Z40" s="497" t="str">
        <f aca="false">Build!AG652</f>
        <v>Effect</v>
      </c>
      <c r="AA40" s="497"/>
      <c r="AB40" s="49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IF(Build!AA653,OFFSET(Spells!B$2,Build!AA653,0),"")</f>
        <v/>
      </c>
      <c r="D41" s="491"/>
      <c r="E41" s="491"/>
      <c r="F41" s="491"/>
      <c r="G41" s="491"/>
      <c r="H41" s="491"/>
      <c r="I41" s="491"/>
      <c r="J41" s="491"/>
      <c r="K41" s="491"/>
      <c r="L41" s="492" t="str">
        <f aca="true">IF(Build!AA653,OFFSET(Spells!C$2,Build!AA653,0),"")</f>
        <v/>
      </c>
      <c r="M41" s="492"/>
      <c r="N41" s="492" t="str">
        <f aca="true">IF(Build!AA653,OFFSET(Spells!D$2,Build!AA653,0),"")</f>
        <v/>
      </c>
      <c r="O41" s="492"/>
      <c r="P41" s="492" t="str">
        <f aca="true">IF(Build!AA653,OFFSET(Spells!E$2,Build!AA653,0),"")</f>
        <v/>
      </c>
      <c r="Q41" s="492"/>
      <c r="R41" s="492" t="str">
        <f aca="true">IF(Build!AA653,OFFSET(Spells!F$2,Build!AA653,0),"")</f>
        <v/>
      </c>
      <c r="S41" s="492"/>
      <c r="T41" s="492" t="str">
        <f aca="true">IF(Build!AA653,OFFSET(Spells!G$2,Build!AA653,0),"")</f>
        <v/>
      </c>
      <c r="U41" s="492"/>
      <c r="V41" s="492"/>
      <c r="W41" s="493" t="str">
        <f aca="true">IF(Build!AA653,OFFSET(Spells!I$2,Build!AA653,0),"")</f>
        <v/>
      </c>
      <c r="X41" s="493"/>
      <c r="Y41" s="493"/>
      <c r="Z41" s="497" t="str">
        <f aca="false">Build!AG653</f>
        <v>Effect</v>
      </c>
      <c r="AA41" s="497"/>
      <c r="AB41" s="49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IF(Build!AA654,OFFSET(Spells!B$2,Build!AA654,0),"")</f>
        <v/>
      </c>
      <c r="D42" s="491"/>
      <c r="E42" s="491"/>
      <c r="F42" s="491"/>
      <c r="G42" s="491"/>
      <c r="H42" s="491"/>
      <c r="I42" s="491"/>
      <c r="J42" s="491"/>
      <c r="K42" s="491"/>
      <c r="L42" s="492" t="str">
        <f aca="true">IF(Build!AA654,OFFSET(Spells!C$2,Build!AA654,0),"")</f>
        <v/>
      </c>
      <c r="M42" s="492"/>
      <c r="N42" s="492" t="str">
        <f aca="true">IF(Build!AA654,OFFSET(Spells!D$2,Build!AA654,0),"")</f>
        <v/>
      </c>
      <c r="O42" s="492"/>
      <c r="P42" s="492" t="str">
        <f aca="true">IF(Build!AA654,OFFSET(Spells!E$2,Build!AA654,0),"")</f>
        <v/>
      </c>
      <c r="Q42" s="492"/>
      <c r="R42" s="492" t="str">
        <f aca="true">IF(Build!AA654,OFFSET(Spells!F$2,Build!AA654,0),"")</f>
        <v/>
      </c>
      <c r="S42" s="492"/>
      <c r="T42" s="492" t="str">
        <f aca="true">IF(Build!AA654,OFFSET(Spells!G$2,Build!AA654,0),"")</f>
        <v/>
      </c>
      <c r="U42" s="492"/>
      <c r="V42" s="492"/>
      <c r="W42" s="493" t="str">
        <f aca="true">IF(Build!AA654,OFFSET(Spells!I$2,Build!AA654,0),"")</f>
        <v/>
      </c>
      <c r="X42" s="493"/>
      <c r="Y42" s="493"/>
      <c r="Z42" s="497" t="str">
        <f aca="false">Build!AG654</f>
        <v>Effect</v>
      </c>
      <c r="AA42" s="497"/>
      <c r="AB42" s="49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IF(Build!AA655,OFFSET(Spells!B$2,Build!AA655,0),"")</f>
        <v/>
      </c>
      <c r="D43" s="491"/>
      <c r="E43" s="491"/>
      <c r="F43" s="491"/>
      <c r="G43" s="491"/>
      <c r="H43" s="491"/>
      <c r="I43" s="491"/>
      <c r="J43" s="491"/>
      <c r="K43" s="491"/>
      <c r="L43" s="492" t="str">
        <f aca="true">IF(Build!AA655,OFFSET(Spells!C$2,Build!AA655,0),"")</f>
        <v/>
      </c>
      <c r="M43" s="492"/>
      <c r="N43" s="492" t="str">
        <f aca="true">IF(Build!AA655,OFFSET(Spells!D$2,Build!AA655,0),"")</f>
        <v/>
      </c>
      <c r="O43" s="492"/>
      <c r="P43" s="492" t="str">
        <f aca="true">IF(Build!AA655,OFFSET(Spells!E$2,Build!AA655,0),"")</f>
        <v/>
      </c>
      <c r="Q43" s="492"/>
      <c r="R43" s="492" t="str">
        <f aca="true">IF(Build!AA655,OFFSET(Spells!F$2,Build!AA655,0),"")</f>
        <v/>
      </c>
      <c r="S43" s="492"/>
      <c r="T43" s="492" t="str">
        <f aca="true">IF(Build!AA655,OFFSET(Spells!G$2,Build!AA655,0),"")</f>
        <v/>
      </c>
      <c r="U43" s="492"/>
      <c r="V43" s="492"/>
      <c r="W43" s="493" t="str">
        <f aca="true">IF(Build!AA655,OFFSET(Spells!I$2,Build!AA655,0),"")</f>
        <v/>
      </c>
      <c r="X43" s="493"/>
      <c r="Y43" s="493"/>
      <c r="Z43" s="497" t="str">
        <f aca="false">Build!AG655</f>
        <v>Effect</v>
      </c>
      <c r="AA43" s="497"/>
      <c r="AB43" s="49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IF(Build!AA656,OFFSET(Spells!B$2,Build!AA656,0),"")</f>
        <v/>
      </c>
      <c r="D44" s="491"/>
      <c r="E44" s="491"/>
      <c r="F44" s="491"/>
      <c r="G44" s="491"/>
      <c r="H44" s="491"/>
      <c r="I44" s="491"/>
      <c r="J44" s="491"/>
      <c r="K44" s="491"/>
      <c r="L44" s="492" t="str">
        <f aca="true">IF(Build!AA656,OFFSET(Spells!C$2,Build!AA656,0),"")</f>
        <v/>
      </c>
      <c r="M44" s="492"/>
      <c r="N44" s="492" t="str">
        <f aca="true">IF(Build!AA656,OFFSET(Spells!D$2,Build!AA656,0),"")</f>
        <v/>
      </c>
      <c r="O44" s="492"/>
      <c r="P44" s="492" t="str">
        <f aca="true">IF(Build!AA656,OFFSET(Spells!E$2,Build!AA656,0),"")</f>
        <v/>
      </c>
      <c r="Q44" s="492"/>
      <c r="R44" s="492" t="str">
        <f aca="true">IF(Build!AA656,OFFSET(Spells!F$2,Build!AA656,0),"")</f>
        <v/>
      </c>
      <c r="S44" s="492"/>
      <c r="T44" s="492" t="str">
        <f aca="true">IF(Build!AA656,OFFSET(Spells!G$2,Build!AA656,0),"")</f>
        <v/>
      </c>
      <c r="U44" s="492"/>
      <c r="V44" s="492"/>
      <c r="W44" s="493" t="str">
        <f aca="true">IF(Build!AA656,OFFSET(Spells!I$2,Build!AA656,0),"")</f>
        <v/>
      </c>
      <c r="X44" s="493"/>
      <c r="Y44" s="493"/>
      <c r="Z44" s="497" t="str">
        <f aca="false">Build!AG656</f>
        <v>Effect</v>
      </c>
      <c r="AA44" s="497"/>
      <c r="AB44" s="49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IF(Build!AA657,OFFSET(Spells!B$2,Build!AA657,0),"")</f>
        <v/>
      </c>
      <c r="D45" s="491"/>
      <c r="E45" s="491"/>
      <c r="F45" s="491"/>
      <c r="G45" s="491"/>
      <c r="H45" s="491"/>
      <c r="I45" s="491"/>
      <c r="J45" s="491"/>
      <c r="K45" s="491"/>
      <c r="L45" s="492" t="str">
        <f aca="true">IF(Build!AA657,OFFSET(Spells!C$2,Build!AA657,0),"")</f>
        <v/>
      </c>
      <c r="M45" s="492"/>
      <c r="N45" s="492" t="str">
        <f aca="true">IF(Build!AA657,OFFSET(Spells!D$2,Build!AA657,0),"")</f>
        <v/>
      </c>
      <c r="O45" s="492"/>
      <c r="P45" s="492" t="str">
        <f aca="true">IF(Build!AA657,OFFSET(Spells!E$2,Build!AA657,0),"")</f>
        <v/>
      </c>
      <c r="Q45" s="492"/>
      <c r="R45" s="492" t="str">
        <f aca="true">IF(Build!AA657,OFFSET(Spells!F$2,Build!AA657,0),"")</f>
        <v/>
      </c>
      <c r="S45" s="492"/>
      <c r="T45" s="492" t="str">
        <f aca="true">IF(Build!AA657,OFFSET(Spells!G$2,Build!AA657,0),"")</f>
        <v/>
      </c>
      <c r="U45" s="492"/>
      <c r="V45" s="492"/>
      <c r="W45" s="493" t="str">
        <f aca="true">IF(Build!AA657,OFFSET(Spells!I$2,Build!AA657,0),"")</f>
        <v/>
      </c>
      <c r="X45" s="493"/>
      <c r="Y45" s="493"/>
      <c r="Z45" s="497" t="str">
        <f aca="false">Build!AG657</f>
        <v>Effect</v>
      </c>
      <c r="AA45" s="497"/>
      <c r="AB45" s="49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IF(Build!AA658,OFFSET(Spells!B$2,Build!AA658,0),"")</f>
        <v/>
      </c>
      <c r="D46" s="491"/>
      <c r="E46" s="491"/>
      <c r="F46" s="491"/>
      <c r="G46" s="491"/>
      <c r="H46" s="491"/>
      <c r="I46" s="491"/>
      <c r="J46" s="491"/>
      <c r="K46" s="491"/>
      <c r="L46" s="492" t="str">
        <f aca="true">IF(Build!AA658,OFFSET(Spells!C$2,Build!AA658,0),"")</f>
        <v/>
      </c>
      <c r="M46" s="492"/>
      <c r="N46" s="492" t="str">
        <f aca="true">IF(Build!AA658,OFFSET(Spells!D$2,Build!AA658,0),"")</f>
        <v/>
      </c>
      <c r="O46" s="492"/>
      <c r="P46" s="492" t="str">
        <f aca="true">IF(Build!AA658,OFFSET(Spells!E$2,Build!AA658,0),"")</f>
        <v/>
      </c>
      <c r="Q46" s="492"/>
      <c r="R46" s="492" t="str">
        <f aca="true">IF(Build!AA658,OFFSET(Spells!F$2,Build!AA658,0),"")</f>
        <v/>
      </c>
      <c r="S46" s="492"/>
      <c r="T46" s="492" t="str">
        <f aca="true">IF(Build!AA658,OFFSET(Spells!G$2,Build!AA658,0),"")</f>
        <v/>
      </c>
      <c r="U46" s="492"/>
      <c r="V46" s="492"/>
      <c r="W46" s="493" t="str">
        <f aca="true">IF(Build!AA658,OFFSET(Spells!I$2,Build!AA658,0),"")</f>
        <v/>
      </c>
      <c r="X46" s="493"/>
      <c r="Y46" s="493"/>
      <c r="Z46" s="497" t="str">
        <f aca="false">Build!AG658</f>
        <v>Effect</v>
      </c>
      <c r="AA46" s="497"/>
      <c r="AB46" s="49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IF(Build!AA659,OFFSET(Spells!B$2,Build!AA659,0),"")</f>
        <v/>
      </c>
      <c r="D47" s="491"/>
      <c r="E47" s="491"/>
      <c r="F47" s="491"/>
      <c r="G47" s="491"/>
      <c r="H47" s="491"/>
      <c r="I47" s="491"/>
      <c r="J47" s="491"/>
      <c r="K47" s="491"/>
      <c r="L47" s="492" t="str">
        <f aca="true">IF(Build!AA659,OFFSET(Spells!C$2,Build!AA659,0),"")</f>
        <v/>
      </c>
      <c r="M47" s="492"/>
      <c r="N47" s="492" t="str">
        <f aca="true">IF(Build!AA659,OFFSET(Spells!D$2,Build!AA659,0),"")</f>
        <v/>
      </c>
      <c r="O47" s="492"/>
      <c r="P47" s="492" t="str">
        <f aca="true">IF(Build!AA659,OFFSET(Spells!E$2,Build!AA659,0),"")</f>
        <v/>
      </c>
      <c r="Q47" s="492"/>
      <c r="R47" s="492" t="str">
        <f aca="true">IF(Build!AA659,OFFSET(Spells!F$2,Build!AA659,0),"")</f>
        <v/>
      </c>
      <c r="S47" s="492"/>
      <c r="T47" s="492" t="str">
        <f aca="true">IF(Build!AA659,OFFSET(Spells!G$2,Build!AA659,0),"")</f>
        <v/>
      </c>
      <c r="U47" s="492"/>
      <c r="V47" s="492"/>
      <c r="W47" s="493" t="str">
        <f aca="true">IF(Build!AA659,OFFSET(Spells!I$2,Build!AA659,0),"")</f>
        <v/>
      </c>
      <c r="X47" s="493"/>
      <c r="Y47" s="493"/>
      <c r="Z47" s="497" t="str">
        <f aca="false">Build!AG659</f>
        <v>Effect</v>
      </c>
      <c r="AA47" s="497"/>
      <c r="AB47" s="49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IF(Build!AA660,OFFSET(Spells!B$2,Build!AA660,0),"")</f>
        <v/>
      </c>
      <c r="D48" s="491"/>
      <c r="E48" s="491"/>
      <c r="F48" s="491"/>
      <c r="G48" s="491"/>
      <c r="H48" s="491"/>
      <c r="I48" s="491"/>
      <c r="J48" s="491"/>
      <c r="K48" s="491"/>
      <c r="L48" s="492" t="str">
        <f aca="true">IF(Build!AA660,OFFSET(Spells!C$2,Build!AA660,0),"")</f>
        <v/>
      </c>
      <c r="M48" s="492"/>
      <c r="N48" s="492" t="str">
        <f aca="true">IF(Build!AA660,OFFSET(Spells!D$2,Build!AA660,0),"")</f>
        <v/>
      </c>
      <c r="O48" s="492"/>
      <c r="P48" s="492" t="str">
        <f aca="true">IF(Build!AA660,OFFSET(Spells!E$2,Build!AA660,0),"")</f>
        <v/>
      </c>
      <c r="Q48" s="492"/>
      <c r="R48" s="492" t="str">
        <f aca="true">IF(Build!AA660,OFFSET(Spells!F$2,Build!AA660,0),"")</f>
        <v/>
      </c>
      <c r="S48" s="492"/>
      <c r="T48" s="492" t="str">
        <f aca="true">IF(Build!AA660,OFFSET(Spells!G$2,Build!AA660,0),"")</f>
        <v/>
      </c>
      <c r="U48" s="492"/>
      <c r="V48" s="492"/>
      <c r="W48" s="493" t="str">
        <f aca="true">IF(Build!AA660,OFFSET(Spells!I$2,Build!AA660,0),"")</f>
        <v/>
      </c>
      <c r="X48" s="493"/>
      <c r="Y48" s="493"/>
      <c r="Z48" s="497" t="str">
        <f aca="false">Build!AG660</f>
        <v>Effect</v>
      </c>
      <c r="AA48" s="497"/>
      <c r="AB48" s="49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IF(Build!AA661,OFFSET(Spells!B$2,Build!AA661,0),"")</f>
        <v/>
      </c>
      <c r="D49" s="491"/>
      <c r="E49" s="491"/>
      <c r="F49" s="491"/>
      <c r="G49" s="491"/>
      <c r="H49" s="491"/>
      <c r="I49" s="491"/>
      <c r="J49" s="491"/>
      <c r="K49" s="491"/>
      <c r="L49" s="492" t="str">
        <f aca="true">IF(Build!AA661,OFFSET(Spells!C$2,Build!AA661,0),"")</f>
        <v/>
      </c>
      <c r="M49" s="492"/>
      <c r="N49" s="492" t="str">
        <f aca="true">IF(Build!AA661,OFFSET(Spells!D$2,Build!AA661,0),"")</f>
        <v/>
      </c>
      <c r="O49" s="492"/>
      <c r="P49" s="492" t="str">
        <f aca="true">IF(Build!AA661,OFFSET(Spells!E$2,Build!AA661,0),"")</f>
        <v/>
      </c>
      <c r="Q49" s="492"/>
      <c r="R49" s="492" t="str">
        <f aca="true">IF(Build!AA661,OFFSET(Spells!F$2,Build!AA661,0),"")</f>
        <v/>
      </c>
      <c r="S49" s="492"/>
      <c r="T49" s="492" t="str">
        <f aca="true">IF(Build!AA661,OFFSET(Spells!G$2,Build!AA661,0),"")</f>
        <v/>
      </c>
      <c r="U49" s="492"/>
      <c r="V49" s="492"/>
      <c r="W49" s="493" t="str">
        <f aca="true">IF(Build!AA661,OFFSET(Spells!I$2,Build!AA661,0),"")</f>
        <v/>
      </c>
      <c r="X49" s="493"/>
      <c r="Y49" s="493"/>
      <c r="Z49" s="497" t="str">
        <f aca="false">Build!AG661</f>
        <v>Effect</v>
      </c>
      <c r="AA49" s="497"/>
      <c r="AB49" s="49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IF(Build!AA662,OFFSET(Spells!B$2,Build!AA662,0),"")</f>
        <v/>
      </c>
      <c r="D50" s="491"/>
      <c r="E50" s="491"/>
      <c r="F50" s="491"/>
      <c r="G50" s="491"/>
      <c r="H50" s="491"/>
      <c r="I50" s="491"/>
      <c r="J50" s="491"/>
      <c r="K50" s="491"/>
      <c r="L50" s="492" t="str">
        <f aca="true">IF(Build!AA662,OFFSET(Spells!C$2,Build!AA662,0),"")</f>
        <v/>
      </c>
      <c r="M50" s="492"/>
      <c r="N50" s="492" t="str">
        <f aca="true">IF(Build!AA662,OFFSET(Spells!D$2,Build!AA662,0),"")</f>
        <v/>
      </c>
      <c r="O50" s="492"/>
      <c r="P50" s="492" t="str">
        <f aca="true">IF(Build!AA662,OFFSET(Spells!E$2,Build!AA662,0),"")</f>
        <v/>
      </c>
      <c r="Q50" s="492"/>
      <c r="R50" s="492" t="str">
        <f aca="true">IF(Build!AA662,OFFSET(Spells!F$2,Build!AA662,0),"")</f>
        <v/>
      </c>
      <c r="S50" s="492"/>
      <c r="T50" s="492" t="str">
        <f aca="true">IF(Build!AA662,OFFSET(Spells!G$2,Build!AA662,0),"")</f>
        <v/>
      </c>
      <c r="U50" s="492"/>
      <c r="V50" s="492"/>
      <c r="W50" s="493" t="str">
        <f aca="true">IF(Build!AA662,OFFSET(Spells!I$2,Build!AA662,0),"")</f>
        <v/>
      </c>
      <c r="X50" s="493"/>
      <c r="Y50" s="493"/>
      <c r="Z50" s="497" t="str">
        <f aca="false">Build!AG662</f>
        <v>Effect</v>
      </c>
      <c r="AA50" s="497"/>
      <c r="AB50" s="49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IF(Build!AA663,OFFSET(Spells!B$2,Build!AA663,0),"")</f>
        <v/>
      </c>
      <c r="D51" s="491"/>
      <c r="E51" s="491"/>
      <c r="F51" s="491"/>
      <c r="G51" s="491"/>
      <c r="H51" s="491"/>
      <c r="I51" s="491"/>
      <c r="J51" s="491"/>
      <c r="K51" s="491"/>
      <c r="L51" s="492" t="str">
        <f aca="true">IF(Build!AA663,OFFSET(Spells!C$2,Build!AA663,0),"")</f>
        <v/>
      </c>
      <c r="M51" s="492"/>
      <c r="N51" s="492" t="str">
        <f aca="true">IF(Build!AA663,OFFSET(Spells!D$2,Build!AA663,0),"")</f>
        <v/>
      </c>
      <c r="O51" s="492"/>
      <c r="P51" s="492" t="str">
        <f aca="true">IF(Build!AA663,OFFSET(Spells!E$2,Build!AA663,0),"")</f>
        <v/>
      </c>
      <c r="Q51" s="492"/>
      <c r="R51" s="492" t="str">
        <f aca="true">IF(Build!AA663,OFFSET(Spells!F$2,Build!AA663,0),"")</f>
        <v/>
      </c>
      <c r="S51" s="492"/>
      <c r="T51" s="492" t="str">
        <f aca="true">IF(Build!AA663,OFFSET(Spells!G$2,Build!AA663,0),"")</f>
        <v/>
      </c>
      <c r="U51" s="492"/>
      <c r="V51" s="492"/>
      <c r="W51" s="493" t="str">
        <f aca="true">IF(Build!AA663,OFFSET(Spells!I$2,Build!AA663,0),"")</f>
        <v/>
      </c>
      <c r="X51" s="493"/>
      <c r="Y51" s="493"/>
      <c r="Z51" s="497" t="str">
        <f aca="false">Build!AG663</f>
        <v>Effect</v>
      </c>
      <c r="AA51" s="497"/>
      <c r="AB51" s="49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IF(Build!AA664,OFFSET(Spells!B$2,Build!AA664,0),"")</f>
        <v/>
      </c>
      <c r="D52" s="491"/>
      <c r="E52" s="491"/>
      <c r="F52" s="491"/>
      <c r="G52" s="491"/>
      <c r="H52" s="491"/>
      <c r="I52" s="491"/>
      <c r="J52" s="491"/>
      <c r="K52" s="491"/>
      <c r="L52" s="492" t="str">
        <f aca="true">IF(Build!AA664,OFFSET(Spells!C$2,Build!AA664,0),"")</f>
        <v/>
      </c>
      <c r="M52" s="492"/>
      <c r="N52" s="492" t="str">
        <f aca="true">IF(Build!AA664,OFFSET(Spells!D$2,Build!AA664,0),"")</f>
        <v/>
      </c>
      <c r="O52" s="492"/>
      <c r="P52" s="492" t="str">
        <f aca="true">IF(Build!AA664,OFFSET(Spells!E$2,Build!AA664,0),"")</f>
        <v/>
      </c>
      <c r="Q52" s="492"/>
      <c r="R52" s="492" t="str">
        <f aca="true">IF(Build!AA664,OFFSET(Spells!F$2,Build!AA664,0),"")</f>
        <v/>
      </c>
      <c r="S52" s="492"/>
      <c r="T52" s="492" t="str">
        <f aca="true">IF(Build!AA664,OFFSET(Spells!G$2,Build!AA664,0),"")</f>
        <v/>
      </c>
      <c r="U52" s="492"/>
      <c r="V52" s="492"/>
      <c r="W52" s="493" t="str">
        <f aca="true">IF(Build!AA664,OFFSET(Spells!I$2,Build!AA664,0),"")</f>
        <v/>
      </c>
      <c r="X52" s="493"/>
      <c r="Y52" s="493"/>
      <c r="Z52" s="497" t="str">
        <f aca="false">Build!AG664</f>
        <v>Effect</v>
      </c>
      <c r="AA52" s="497"/>
      <c r="AB52" s="49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IF(Build!AA665,OFFSET(Spells!B$2,Build!AA665,0),"")</f>
        <v/>
      </c>
      <c r="D53" s="491"/>
      <c r="E53" s="491"/>
      <c r="F53" s="491"/>
      <c r="G53" s="491"/>
      <c r="H53" s="491"/>
      <c r="I53" s="491"/>
      <c r="J53" s="491"/>
      <c r="K53" s="491"/>
      <c r="L53" s="492" t="str">
        <f aca="true">IF(Build!AA665,OFFSET(Spells!C$2,Build!AA665,0),"")</f>
        <v/>
      </c>
      <c r="M53" s="492"/>
      <c r="N53" s="492" t="str">
        <f aca="true">IF(Build!AA665,OFFSET(Spells!D$2,Build!AA665,0),"")</f>
        <v/>
      </c>
      <c r="O53" s="492"/>
      <c r="P53" s="492" t="str">
        <f aca="true">IF(Build!AA665,OFFSET(Spells!E$2,Build!AA665,0),"")</f>
        <v/>
      </c>
      <c r="Q53" s="492"/>
      <c r="R53" s="492" t="str">
        <f aca="true">IF(Build!AA665,OFFSET(Spells!F$2,Build!AA665,0),"")</f>
        <v/>
      </c>
      <c r="S53" s="492"/>
      <c r="T53" s="492" t="str">
        <f aca="true">IF(Build!AA665,OFFSET(Spells!G$2,Build!AA665,0),"")</f>
        <v/>
      </c>
      <c r="U53" s="492"/>
      <c r="V53" s="492"/>
      <c r="W53" s="493" t="str">
        <f aca="true">IF(Build!AA665,OFFSET(Spells!I$2,Build!AA665,0),"")</f>
        <v/>
      </c>
      <c r="X53" s="493"/>
      <c r="Y53" s="493"/>
      <c r="Z53" s="497" t="str">
        <f aca="false">Build!AG665</f>
        <v>Effect</v>
      </c>
      <c r="AA53" s="497"/>
      <c r="AB53" s="49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IF(Build!AA666,OFFSET(Spells!B$2,Build!AA666,0),"")</f>
        <v/>
      </c>
      <c r="D54" s="491"/>
      <c r="E54" s="491"/>
      <c r="F54" s="491"/>
      <c r="G54" s="491"/>
      <c r="H54" s="491"/>
      <c r="I54" s="491"/>
      <c r="J54" s="491"/>
      <c r="K54" s="491"/>
      <c r="L54" s="492" t="str">
        <f aca="true">IF(Build!AA666,OFFSET(Spells!C$2,Build!AA666,0),"")</f>
        <v/>
      </c>
      <c r="M54" s="492"/>
      <c r="N54" s="492" t="str">
        <f aca="true">IF(Build!AA666,OFFSET(Spells!D$2,Build!AA666,0),"")</f>
        <v/>
      </c>
      <c r="O54" s="492"/>
      <c r="P54" s="492" t="str">
        <f aca="true">IF(Build!AA666,OFFSET(Spells!E$2,Build!AA666,0),"")</f>
        <v/>
      </c>
      <c r="Q54" s="492"/>
      <c r="R54" s="492" t="str">
        <f aca="true">IF(Build!AA666,OFFSET(Spells!F$2,Build!AA666,0),"")</f>
        <v/>
      </c>
      <c r="S54" s="492"/>
      <c r="T54" s="492" t="str">
        <f aca="true">IF(Build!AA666,OFFSET(Spells!G$2,Build!AA666,0),"")</f>
        <v/>
      </c>
      <c r="U54" s="492"/>
      <c r="V54" s="492"/>
      <c r="W54" s="493" t="str">
        <f aca="true">IF(Build!AA666,OFFSET(Spells!I$2,Build!AA666,0),"")</f>
        <v/>
      </c>
      <c r="X54" s="493"/>
      <c r="Y54" s="493"/>
      <c r="Z54" s="497" t="str">
        <f aca="false">Build!AG666</f>
        <v>Effect</v>
      </c>
      <c r="AA54" s="497"/>
      <c r="AB54" s="49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IF(Build!AA667,OFFSET(Spells!B$2,Build!AA667,0),"")</f>
        <v/>
      </c>
      <c r="D55" s="491"/>
      <c r="E55" s="491"/>
      <c r="F55" s="491"/>
      <c r="G55" s="491"/>
      <c r="H55" s="491"/>
      <c r="I55" s="491"/>
      <c r="J55" s="491"/>
      <c r="K55" s="491"/>
      <c r="L55" s="492" t="str">
        <f aca="true">IF(Build!AA667,OFFSET(Spells!C$2,Build!AA667,0),"")</f>
        <v/>
      </c>
      <c r="M55" s="492"/>
      <c r="N55" s="492" t="str">
        <f aca="true">IF(Build!AA667,OFFSET(Spells!D$2,Build!AA667,0),"")</f>
        <v/>
      </c>
      <c r="O55" s="492"/>
      <c r="P55" s="492" t="str">
        <f aca="true">IF(Build!AA667,OFFSET(Spells!E$2,Build!AA667,0),"")</f>
        <v/>
      </c>
      <c r="Q55" s="492"/>
      <c r="R55" s="492" t="str">
        <f aca="true">IF(Build!AA667,OFFSET(Spells!F$2,Build!AA667,0),"")</f>
        <v/>
      </c>
      <c r="S55" s="492"/>
      <c r="T55" s="492" t="str">
        <f aca="true">IF(Build!AA667,OFFSET(Spells!G$2,Build!AA667,0),"")</f>
        <v/>
      </c>
      <c r="U55" s="492"/>
      <c r="V55" s="492"/>
      <c r="W55" s="493" t="str">
        <f aca="true">IF(Build!AA667,OFFSET(Spells!I$2,Build!AA667,0),"")</f>
        <v/>
      </c>
      <c r="X55" s="493"/>
      <c r="Y55" s="493"/>
      <c r="Z55" s="497" t="str">
        <f aca="false">Build!AG667</f>
        <v>Effect</v>
      </c>
      <c r="AA55" s="497"/>
      <c r="AB55" s="49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IF(Build!AA668,OFFSET(Spells!B$2,Build!AA668,0),"")</f>
        <v/>
      </c>
      <c r="D56" s="491"/>
      <c r="E56" s="491"/>
      <c r="F56" s="491"/>
      <c r="G56" s="491"/>
      <c r="H56" s="491"/>
      <c r="I56" s="491"/>
      <c r="J56" s="491"/>
      <c r="K56" s="491"/>
      <c r="L56" s="492" t="str">
        <f aca="true">IF(Build!AA668,OFFSET(Spells!C$2,Build!AA668,0),"")</f>
        <v/>
      </c>
      <c r="M56" s="492"/>
      <c r="N56" s="492" t="str">
        <f aca="true">IF(Build!AA668,OFFSET(Spells!D$2,Build!AA668,0),"")</f>
        <v/>
      </c>
      <c r="O56" s="492"/>
      <c r="P56" s="492" t="str">
        <f aca="true">IF(Build!AA668,OFFSET(Spells!E$2,Build!AA668,0),"")</f>
        <v/>
      </c>
      <c r="Q56" s="492"/>
      <c r="R56" s="492" t="str">
        <f aca="true">IF(Build!AA668,OFFSET(Spells!F$2,Build!AA668,0),"")</f>
        <v/>
      </c>
      <c r="S56" s="492"/>
      <c r="T56" s="492" t="str">
        <f aca="true">IF(Build!AA668,OFFSET(Spells!G$2,Build!AA668,0),"")</f>
        <v/>
      </c>
      <c r="U56" s="492"/>
      <c r="V56" s="492"/>
      <c r="W56" s="493" t="str">
        <f aca="true">IF(Build!AA668,OFFSET(Spells!I$2,Build!AA668,0),"")</f>
        <v/>
      </c>
      <c r="X56" s="493"/>
      <c r="Y56" s="493"/>
      <c r="Z56" s="497" t="str">
        <f aca="false">Build!AG668</f>
        <v>Effect</v>
      </c>
      <c r="AA56" s="497"/>
      <c r="AB56" s="49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IF(Build!AA669,OFFSET(Spells!B$2,Build!AA669,0),"")</f>
        <v/>
      </c>
      <c r="D57" s="491"/>
      <c r="E57" s="491"/>
      <c r="F57" s="491"/>
      <c r="G57" s="491"/>
      <c r="H57" s="491"/>
      <c r="I57" s="491"/>
      <c r="J57" s="491"/>
      <c r="K57" s="491"/>
      <c r="L57" s="492" t="str">
        <f aca="true">IF(Build!AA669,OFFSET(Spells!C$2,Build!AA669,0),"")</f>
        <v/>
      </c>
      <c r="M57" s="492"/>
      <c r="N57" s="492" t="str">
        <f aca="true">IF(Build!AA669,OFFSET(Spells!D$2,Build!AA669,0),"")</f>
        <v/>
      </c>
      <c r="O57" s="492"/>
      <c r="P57" s="492" t="str">
        <f aca="true">IF(Build!AA669,OFFSET(Spells!E$2,Build!AA669,0),"")</f>
        <v/>
      </c>
      <c r="Q57" s="492"/>
      <c r="R57" s="492" t="str">
        <f aca="true">IF(Build!AA669,OFFSET(Spells!F$2,Build!AA669,0),"")</f>
        <v/>
      </c>
      <c r="S57" s="492"/>
      <c r="T57" s="492" t="str">
        <f aca="true">IF(Build!AA669,OFFSET(Spells!G$2,Build!AA669,0),"")</f>
        <v/>
      </c>
      <c r="U57" s="492"/>
      <c r="V57" s="492"/>
      <c r="W57" s="493" t="str">
        <f aca="true">IF(Build!AA669,OFFSET(Spells!I$2,Build!AA669,0),"")</f>
        <v/>
      </c>
      <c r="X57" s="493"/>
      <c r="Y57" s="493"/>
      <c r="Z57" s="497" t="str">
        <f aca="false">Build!AG669</f>
        <v>Effect</v>
      </c>
      <c r="AA57" s="497"/>
      <c r="AB57" s="49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IF(Build!AA670,OFFSET(Spells!B$2,Build!AA670,0),"")</f>
        <v/>
      </c>
      <c r="D58" s="491"/>
      <c r="E58" s="491"/>
      <c r="F58" s="491"/>
      <c r="G58" s="491"/>
      <c r="H58" s="491"/>
      <c r="I58" s="491"/>
      <c r="J58" s="491"/>
      <c r="K58" s="491"/>
      <c r="L58" s="492" t="str">
        <f aca="true">IF(Build!AA670,OFFSET(Spells!C$2,Build!AA670,0),"")</f>
        <v/>
      </c>
      <c r="M58" s="492"/>
      <c r="N58" s="492" t="str">
        <f aca="true">IF(Build!AA670,OFFSET(Spells!D$2,Build!AA670,0),"")</f>
        <v/>
      </c>
      <c r="O58" s="492"/>
      <c r="P58" s="492" t="str">
        <f aca="true">IF(Build!AA670,OFFSET(Spells!E$2,Build!AA670,0),"")</f>
        <v/>
      </c>
      <c r="Q58" s="492"/>
      <c r="R58" s="492" t="str">
        <f aca="true">IF(Build!AA670,OFFSET(Spells!F$2,Build!AA670,0),"")</f>
        <v/>
      </c>
      <c r="S58" s="492"/>
      <c r="T58" s="492" t="str">
        <f aca="true">IF(Build!AA670,OFFSET(Spells!G$2,Build!AA670,0),"")</f>
        <v/>
      </c>
      <c r="U58" s="492"/>
      <c r="V58" s="492"/>
      <c r="W58" s="493" t="str">
        <f aca="true">IF(Build!AA670,OFFSET(Spells!I$2,Build!AA670,0),"")</f>
        <v/>
      </c>
      <c r="X58" s="493"/>
      <c r="Y58" s="493"/>
      <c r="Z58" s="497" t="str">
        <f aca="false">Build!AG670</f>
        <v>Effect</v>
      </c>
      <c r="AA58" s="497"/>
      <c r="AB58" s="49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IF(Build!AA671,OFFSET(Spells!B$2,Build!AA671,0),"")</f>
        <v/>
      </c>
      <c r="D59" s="491"/>
      <c r="E59" s="491"/>
      <c r="F59" s="491"/>
      <c r="G59" s="491"/>
      <c r="H59" s="491"/>
      <c r="I59" s="491"/>
      <c r="J59" s="491"/>
      <c r="K59" s="491"/>
      <c r="L59" s="492" t="str">
        <f aca="true">IF(Build!AA671,OFFSET(Spells!C$2,Build!AA671,0),"")</f>
        <v/>
      </c>
      <c r="M59" s="492"/>
      <c r="N59" s="492" t="str">
        <f aca="true">IF(Build!AA671,OFFSET(Spells!D$2,Build!AA671,0),"")</f>
        <v/>
      </c>
      <c r="O59" s="492"/>
      <c r="P59" s="492" t="str">
        <f aca="true">IF(Build!AA671,OFFSET(Spells!E$2,Build!AA671,0),"")</f>
        <v/>
      </c>
      <c r="Q59" s="492"/>
      <c r="R59" s="492" t="str">
        <f aca="true">IF(Build!AA671,OFFSET(Spells!F$2,Build!AA671,0),"")</f>
        <v/>
      </c>
      <c r="S59" s="492"/>
      <c r="T59" s="492" t="str">
        <f aca="true">IF(Build!AA671,OFFSET(Spells!G$2,Build!AA671,0),"")</f>
        <v/>
      </c>
      <c r="U59" s="492"/>
      <c r="V59" s="492"/>
      <c r="W59" s="493" t="str">
        <f aca="true">IF(Build!AA671,OFFSET(Spells!I$2,Build!AA671,0),"")</f>
        <v/>
      </c>
      <c r="X59" s="493"/>
      <c r="Y59" s="493"/>
      <c r="Z59" s="497" t="str">
        <f aca="false">Build!AG671</f>
        <v>Effect</v>
      </c>
      <c r="AA59" s="497"/>
      <c r="AB59" s="49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IF(Build!AA672,OFFSET(Spells!B$2,Build!AA672,0),"")</f>
        <v/>
      </c>
      <c r="D60" s="491"/>
      <c r="E60" s="491"/>
      <c r="F60" s="491"/>
      <c r="G60" s="491"/>
      <c r="H60" s="491"/>
      <c r="I60" s="491"/>
      <c r="J60" s="491"/>
      <c r="K60" s="491"/>
      <c r="L60" s="492" t="str">
        <f aca="true">IF(Build!AA672,OFFSET(Spells!C$2,Build!AA672,0),"")</f>
        <v/>
      </c>
      <c r="M60" s="492"/>
      <c r="N60" s="492" t="str">
        <f aca="true">IF(Build!AA672,OFFSET(Spells!D$2,Build!AA672,0),"")</f>
        <v/>
      </c>
      <c r="O60" s="492"/>
      <c r="P60" s="492" t="str">
        <f aca="true">IF(Build!AA672,OFFSET(Spells!E$2,Build!AA672,0),"")</f>
        <v/>
      </c>
      <c r="Q60" s="492"/>
      <c r="R60" s="492" t="str">
        <f aca="true">IF(Build!AA672,OFFSET(Spells!F$2,Build!AA672,0),"")</f>
        <v/>
      </c>
      <c r="S60" s="492"/>
      <c r="T60" s="492" t="str">
        <f aca="true">IF(Build!AA672,OFFSET(Spells!G$2,Build!AA672,0),"")</f>
        <v/>
      </c>
      <c r="U60" s="492"/>
      <c r="V60" s="492"/>
      <c r="W60" s="493" t="str">
        <f aca="true">IF(Build!AA672,OFFSET(Spells!I$2,Build!AA672,0),"")</f>
        <v/>
      </c>
      <c r="X60" s="493"/>
      <c r="Y60" s="493"/>
      <c r="Z60" s="497" t="str">
        <f aca="false">Build!AG672</f>
        <v>Effect</v>
      </c>
      <c r="AA60" s="497"/>
      <c r="AB60" s="49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IF(Build!AA673,OFFSET(Spells!B$2,Build!AA673,0),"")</f>
        <v/>
      </c>
      <c r="D61" s="491"/>
      <c r="E61" s="491"/>
      <c r="F61" s="491"/>
      <c r="G61" s="491"/>
      <c r="H61" s="491"/>
      <c r="I61" s="491"/>
      <c r="J61" s="491"/>
      <c r="K61" s="491"/>
      <c r="L61" s="492" t="str">
        <f aca="true">IF(Build!AA673,OFFSET(Spells!C$2,Build!AA673,0),"")</f>
        <v/>
      </c>
      <c r="M61" s="492"/>
      <c r="N61" s="492" t="str">
        <f aca="true">IF(Build!AA673,OFFSET(Spells!D$2,Build!AA673,0),"")</f>
        <v/>
      </c>
      <c r="O61" s="492"/>
      <c r="P61" s="492" t="str">
        <f aca="true">IF(Build!AA673,OFFSET(Spells!E$2,Build!AA673,0),"")</f>
        <v/>
      </c>
      <c r="Q61" s="492"/>
      <c r="R61" s="492" t="str">
        <f aca="true">IF(Build!AA673,OFFSET(Spells!F$2,Build!AA673,0),"")</f>
        <v/>
      </c>
      <c r="S61" s="492"/>
      <c r="T61" s="492" t="str">
        <f aca="true">IF(Build!AA673,OFFSET(Spells!G$2,Build!AA673,0),"")</f>
        <v/>
      </c>
      <c r="U61" s="492"/>
      <c r="V61" s="492"/>
      <c r="W61" s="493" t="str">
        <f aca="true">IF(Build!AA673,OFFSET(Spells!I$2,Build!AA673,0),"")</f>
        <v/>
      </c>
      <c r="X61" s="493"/>
      <c r="Y61" s="493"/>
      <c r="Z61" s="497" t="str">
        <f aca="false">Build!AG673</f>
        <v>Effect</v>
      </c>
      <c r="AA61" s="497"/>
      <c r="AB61" s="49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IF(Build!AA674,OFFSET(Spells!B$2,Build!AA674,0),"")</f>
        <v/>
      </c>
      <c r="D62" s="491"/>
      <c r="E62" s="491"/>
      <c r="F62" s="491"/>
      <c r="G62" s="491"/>
      <c r="H62" s="491"/>
      <c r="I62" s="491"/>
      <c r="J62" s="491"/>
      <c r="K62" s="491"/>
      <c r="L62" s="492" t="str">
        <f aca="true">IF(Build!AA674,OFFSET(Spells!C$2,Build!AA674,0),"")</f>
        <v/>
      </c>
      <c r="M62" s="492"/>
      <c r="N62" s="492" t="str">
        <f aca="true">IF(Build!AA674,OFFSET(Spells!D$2,Build!AA674,0),"")</f>
        <v/>
      </c>
      <c r="O62" s="492"/>
      <c r="P62" s="492" t="str">
        <f aca="true">IF(Build!AA674,OFFSET(Spells!E$2,Build!AA674,0),"")</f>
        <v/>
      </c>
      <c r="Q62" s="492"/>
      <c r="R62" s="492" t="str">
        <f aca="true">IF(Build!AA674,OFFSET(Spells!F$2,Build!AA674,0),"")</f>
        <v/>
      </c>
      <c r="S62" s="492"/>
      <c r="T62" s="492" t="str">
        <f aca="true">IF(Build!AA674,OFFSET(Spells!G$2,Build!AA674,0),"")</f>
        <v/>
      </c>
      <c r="U62" s="492"/>
      <c r="V62" s="492"/>
      <c r="W62" s="493" t="str">
        <f aca="true">IF(Build!AA674,OFFSET(Spells!I$2,Build!AA674,0),"")</f>
        <v/>
      </c>
      <c r="X62" s="493"/>
      <c r="Y62" s="493"/>
      <c r="Z62" s="497" t="str">
        <f aca="false">Build!AG674</f>
        <v>Effect</v>
      </c>
      <c r="AA62" s="497"/>
      <c r="AB62" s="49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IF(Build!AA675,OFFSET(Spells!B$2,Build!AA675,0),"")</f>
        <v/>
      </c>
      <c r="D63" s="491"/>
      <c r="E63" s="491"/>
      <c r="F63" s="491"/>
      <c r="G63" s="491"/>
      <c r="H63" s="491"/>
      <c r="I63" s="491"/>
      <c r="J63" s="491"/>
      <c r="K63" s="491"/>
      <c r="L63" s="492" t="str">
        <f aca="true">IF(Build!AA675,OFFSET(Spells!C$2,Build!AA675,0),"")</f>
        <v/>
      </c>
      <c r="M63" s="492"/>
      <c r="N63" s="492" t="str">
        <f aca="true">IF(Build!AA675,OFFSET(Spells!D$2,Build!AA675,0),"")</f>
        <v/>
      </c>
      <c r="O63" s="492"/>
      <c r="P63" s="492" t="str">
        <f aca="true">IF(Build!AA675,OFFSET(Spells!E$2,Build!AA675,0),"")</f>
        <v/>
      </c>
      <c r="Q63" s="492"/>
      <c r="R63" s="492" t="str">
        <f aca="true">IF(Build!AA675,OFFSET(Spells!F$2,Build!AA675,0),"")</f>
        <v/>
      </c>
      <c r="S63" s="492"/>
      <c r="T63" s="492" t="str">
        <f aca="true">IF(Build!AA675,OFFSET(Spells!G$2,Build!AA675,0),"")</f>
        <v/>
      </c>
      <c r="U63" s="492"/>
      <c r="V63" s="492"/>
      <c r="W63" s="493" t="str">
        <f aca="true">IF(Build!AA675,OFFSET(Spells!I$2,Build!AA675,0),"")</f>
        <v/>
      </c>
      <c r="X63" s="493"/>
      <c r="Y63" s="493"/>
      <c r="Z63" s="497" t="str">
        <f aca="false">Build!AG675</f>
        <v>Effect</v>
      </c>
      <c r="AA63" s="497"/>
      <c r="AB63" s="49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IF(Build!AA676,OFFSET(Spells!B$2,Build!AA676,0),"")</f>
        <v/>
      </c>
      <c r="D64" s="491"/>
      <c r="E64" s="491"/>
      <c r="F64" s="491"/>
      <c r="G64" s="491"/>
      <c r="H64" s="491"/>
      <c r="I64" s="491"/>
      <c r="J64" s="491"/>
      <c r="K64" s="491"/>
      <c r="L64" s="492" t="str">
        <f aca="true">IF(Build!AA676,OFFSET(Spells!C$2,Build!AA676,0),"")</f>
        <v/>
      </c>
      <c r="M64" s="492"/>
      <c r="N64" s="492" t="str">
        <f aca="true">IF(Build!AA676,OFFSET(Spells!D$2,Build!AA676,0),"")</f>
        <v/>
      </c>
      <c r="O64" s="492"/>
      <c r="P64" s="492" t="str">
        <f aca="true">IF(Build!AA676,OFFSET(Spells!E$2,Build!AA676,0),"")</f>
        <v/>
      </c>
      <c r="Q64" s="492"/>
      <c r="R64" s="492" t="str">
        <f aca="true">IF(Build!AA676,OFFSET(Spells!F$2,Build!AA676,0),"")</f>
        <v/>
      </c>
      <c r="S64" s="492"/>
      <c r="T64" s="492" t="str">
        <f aca="true">IF(Build!AA676,OFFSET(Spells!G$2,Build!AA676,0),"")</f>
        <v/>
      </c>
      <c r="U64" s="492"/>
      <c r="V64" s="492"/>
      <c r="W64" s="493" t="str">
        <f aca="true">IF(Build!AA676,OFFSET(Spells!I$2,Build!AA676,0),"")</f>
        <v/>
      </c>
      <c r="X64" s="493"/>
      <c r="Y64" s="493"/>
      <c r="Z64" s="497" t="str">
        <f aca="false">Build!AG676</f>
        <v>Effect</v>
      </c>
      <c r="AA64" s="497"/>
      <c r="AB64" s="49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IF(Build!AA677,OFFSET(Spells!B$2,Build!AA677,0),"")</f>
        <v/>
      </c>
      <c r="D65" s="491"/>
      <c r="E65" s="491"/>
      <c r="F65" s="491"/>
      <c r="G65" s="491"/>
      <c r="H65" s="491"/>
      <c r="I65" s="491"/>
      <c r="J65" s="491"/>
      <c r="K65" s="491"/>
      <c r="L65" s="492" t="str">
        <f aca="true">IF(Build!AA677,OFFSET(Spells!C$2,Build!AA677,0),"")</f>
        <v/>
      </c>
      <c r="M65" s="492"/>
      <c r="N65" s="492" t="str">
        <f aca="true">IF(Build!AA677,OFFSET(Spells!D$2,Build!AA677,0),"")</f>
        <v/>
      </c>
      <c r="O65" s="492"/>
      <c r="P65" s="492" t="str">
        <f aca="true">IF(Build!AA677,OFFSET(Spells!E$2,Build!AA677,0),"")</f>
        <v/>
      </c>
      <c r="Q65" s="492"/>
      <c r="R65" s="492" t="str">
        <f aca="true">IF(Build!AA677,OFFSET(Spells!F$2,Build!AA677,0),"")</f>
        <v/>
      </c>
      <c r="S65" s="492"/>
      <c r="T65" s="492" t="str">
        <f aca="true">IF(Build!AA677,OFFSET(Spells!G$2,Build!AA677,0),"")</f>
        <v/>
      </c>
      <c r="U65" s="492"/>
      <c r="V65" s="492"/>
      <c r="W65" s="493" t="str">
        <f aca="true">IF(Build!AA677,OFFSET(Spells!I$2,Build!AA677,0),"")</f>
        <v/>
      </c>
      <c r="X65" s="493"/>
      <c r="Y65" s="493"/>
      <c r="Z65" s="497" t="str">
        <f aca="false">Build!AG677</f>
        <v>Effect</v>
      </c>
      <c r="AA65" s="497"/>
      <c r="AB65" s="49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IF(Build!AA678,OFFSET(Spells!B$2,Build!AA678,0),"")</f>
        <v/>
      </c>
      <c r="D66" s="491"/>
      <c r="E66" s="491"/>
      <c r="F66" s="491"/>
      <c r="G66" s="491"/>
      <c r="H66" s="491"/>
      <c r="I66" s="491"/>
      <c r="J66" s="491"/>
      <c r="K66" s="491"/>
      <c r="L66" s="492" t="str">
        <f aca="true">IF(Build!AA678,OFFSET(Spells!C$2,Build!AA678,0),"")</f>
        <v/>
      </c>
      <c r="M66" s="492"/>
      <c r="N66" s="492" t="str">
        <f aca="true">IF(Build!AA678,OFFSET(Spells!D$2,Build!AA678,0),"")</f>
        <v/>
      </c>
      <c r="O66" s="492"/>
      <c r="P66" s="492" t="str">
        <f aca="true">IF(Build!AA678,OFFSET(Spells!E$2,Build!AA678,0),"")</f>
        <v/>
      </c>
      <c r="Q66" s="492"/>
      <c r="R66" s="492" t="str">
        <f aca="true">IF(Build!AA678,OFFSET(Spells!F$2,Build!AA678,0),"")</f>
        <v/>
      </c>
      <c r="S66" s="492"/>
      <c r="T66" s="492" t="str">
        <f aca="true">IF(Build!AA678,OFFSET(Spells!G$2,Build!AA678,0),"")</f>
        <v/>
      </c>
      <c r="U66" s="492"/>
      <c r="V66" s="492"/>
      <c r="W66" s="493" t="str">
        <f aca="true">IF(Build!AA678,OFFSET(Spells!I$2,Build!AA678,0),"")</f>
        <v/>
      </c>
      <c r="X66" s="493"/>
      <c r="Y66" s="493"/>
      <c r="Z66" s="497" t="str">
        <f aca="false">Build!AG678</f>
        <v>Effect</v>
      </c>
      <c r="AA66" s="497"/>
      <c r="AB66" s="49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IF(Build!AA679,OFFSET(Spells!B$2,Build!AA679,0),"")</f>
        <v/>
      </c>
      <c r="D67" s="491"/>
      <c r="E67" s="491"/>
      <c r="F67" s="491"/>
      <c r="G67" s="491"/>
      <c r="H67" s="491"/>
      <c r="I67" s="491"/>
      <c r="J67" s="491"/>
      <c r="K67" s="491"/>
      <c r="L67" s="492" t="str">
        <f aca="true">IF(Build!AA679,OFFSET(Spells!C$2,Build!AA679,0),"")</f>
        <v/>
      </c>
      <c r="M67" s="492"/>
      <c r="N67" s="492" t="str">
        <f aca="true">IF(Build!AA679,OFFSET(Spells!D$2,Build!AA679,0),"")</f>
        <v/>
      </c>
      <c r="O67" s="492"/>
      <c r="P67" s="492" t="str">
        <f aca="true">IF(Build!AA679,OFFSET(Spells!E$2,Build!AA679,0),"")</f>
        <v/>
      </c>
      <c r="Q67" s="492"/>
      <c r="R67" s="492" t="str">
        <f aca="true">IF(Build!AA679,OFFSET(Spells!F$2,Build!AA679,0),"")</f>
        <v/>
      </c>
      <c r="S67" s="492"/>
      <c r="T67" s="492" t="str">
        <f aca="true">IF(Build!AA679,OFFSET(Spells!G$2,Build!AA679,0),"")</f>
        <v/>
      </c>
      <c r="U67" s="492"/>
      <c r="V67" s="492"/>
      <c r="W67" s="493" t="str">
        <f aca="true">IF(Build!AA679,OFFSET(Spells!I$2,Build!AA679,0),"")</f>
        <v/>
      </c>
      <c r="X67" s="493"/>
      <c r="Y67" s="493"/>
      <c r="Z67" s="497" t="str">
        <f aca="false">Build!AG679</f>
        <v>Effect</v>
      </c>
      <c r="AA67" s="497"/>
      <c r="AB67" s="49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9" t="str">
        <f aca="true">IF(Build!AA680,OFFSET(Spells!B$2,Build!AA680,0),"")</f>
        <v/>
      </c>
      <c r="D68" s="499"/>
      <c r="E68" s="499"/>
      <c r="F68" s="499"/>
      <c r="G68" s="499"/>
      <c r="H68" s="499"/>
      <c r="I68" s="499"/>
      <c r="J68" s="499"/>
      <c r="K68" s="499"/>
      <c r="L68" s="500" t="str">
        <f aca="true">IF(Build!AA680,OFFSET(Spells!C$2,Build!AA680,0),"")</f>
        <v/>
      </c>
      <c r="M68" s="500"/>
      <c r="N68" s="500" t="str">
        <f aca="true">IF(Build!AA680,OFFSET(Spells!D$2,Build!AA680,0),"")</f>
        <v/>
      </c>
      <c r="O68" s="500"/>
      <c r="P68" s="500" t="str">
        <f aca="true">IF(Build!AA680,OFFSET(Spells!E$2,Build!AA680,0),"")</f>
        <v/>
      </c>
      <c r="Q68" s="500"/>
      <c r="R68" s="500" t="str">
        <f aca="true">IF(Build!AA680,OFFSET(Spells!F$2,Build!AA680,0),"")</f>
        <v/>
      </c>
      <c r="S68" s="500"/>
      <c r="T68" s="500" t="str">
        <f aca="true">IF(Build!AA680,OFFSET(Spells!G$2,Build!AA680,0),"")</f>
        <v/>
      </c>
      <c r="U68" s="500"/>
      <c r="V68" s="500"/>
      <c r="W68" s="501" t="str">
        <f aca="true">IF(Build!AA680,OFFSET(Spells!I$2,Build!AA680,0),"")</f>
        <v/>
      </c>
      <c r="X68" s="501"/>
      <c r="Y68" s="501"/>
      <c r="Z68" s="497" t="str">
        <f aca="false">Build!AG680</f>
        <v>Effect</v>
      </c>
      <c r="AA68" s="497"/>
      <c r="AB68" s="49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Z5" activeCellId="0" sqref="Z5"/>
    </sheetView>
  </sheetViews>
  <sheetFormatPr defaultRowHeight="12.75" zeroHeight="false" outlineLevelRow="0" outlineLevelCol="0"/>
  <cols>
    <col collapsed="false" customWidth="true" hidden="false" outlineLevel="0" max="9" min="1" style="0" width="2.82"/>
    <col collapsed="false" customWidth="true" hidden="false" outlineLevel="0" max="10" min="10" style="0" width="0.16"/>
    <col collapsed="false" customWidth="true" hidden="false" outlineLevel="0" max="11" min="11" style="0" width="0.33"/>
    <col collapsed="false" customWidth="true" hidden="false" outlineLevel="0" max="14" min="12" style="0" width="2.82"/>
    <col collapsed="false" customWidth="true" hidden="false" outlineLevel="0" max="15" min="15" style="0" width="3.83"/>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2.65"/>
    <col collapsed="false" customWidth="true" hidden="false" outlineLevel="0" max="27" min="26" style="0" width="2.82"/>
    <col collapsed="false" customWidth="true" hidden="false" outlineLevel="0" max="28" min="28" style="0" width="48.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1186</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1077</v>
      </c>
      <c r="B4" s="486"/>
      <c r="C4" s="487" t="s">
        <v>1179</v>
      </c>
      <c r="D4" s="487"/>
      <c r="E4" s="487"/>
      <c r="F4" s="487"/>
      <c r="G4" s="487"/>
      <c r="H4" s="487"/>
      <c r="I4" s="487"/>
      <c r="J4" s="487"/>
      <c r="K4" s="487"/>
      <c r="L4" s="488" t="s">
        <v>981</v>
      </c>
      <c r="M4" s="488"/>
      <c r="N4" s="488" t="s">
        <v>179</v>
      </c>
      <c r="O4" s="488"/>
      <c r="P4" s="505" t="s">
        <v>1182</v>
      </c>
      <c r="Q4" s="505"/>
      <c r="R4" s="505" t="s">
        <v>1187</v>
      </c>
      <c r="S4" s="505"/>
      <c r="T4" s="488" t="s">
        <v>338</v>
      </c>
      <c r="U4" s="488"/>
      <c r="V4" s="488"/>
      <c r="W4" s="488" t="s">
        <v>1184</v>
      </c>
      <c r="X4" s="488"/>
      <c r="Y4" s="488"/>
      <c r="Z4" s="488" t="s">
        <v>877</v>
      </c>
      <c r="AA4" s="488"/>
      <c r="AB4" s="488"/>
      <c r="AC4" s="488" t="s">
        <v>341</v>
      </c>
      <c r="AD4" s="488"/>
      <c r="AE4" s="488" t="s">
        <v>979</v>
      </c>
      <c r="AF4" s="488"/>
      <c r="AG4" s="488"/>
      <c r="AH4" s="488"/>
      <c r="AI4" s="488"/>
      <c r="AJ4" s="488"/>
      <c r="AK4" s="506" t="s">
        <v>1185</v>
      </c>
      <c r="AL4" s="506"/>
      <c r="AM4" s="506"/>
    </row>
    <row r="5" customFormat="false" ht="11.1" hidden="false" customHeight="true" outlineLevel="0" collapsed="false">
      <c r="A5" s="389"/>
      <c r="B5" s="389"/>
      <c r="C5" s="491" t="str">
        <f aca="true">IF(Build!AB617,OFFSET(Spells!L$2,Build!AB617,0),"")</f>
        <v/>
      </c>
      <c r="D5" s="491"/>
      <c r="E5" s="491"/>
      <c r="F5" s="491"/>
      <c r="G5" s="491"/>
      <c r="H5" s="491"/>
      <c r="I5" s="491"/>
      <c r="J5" s="491"/>
      <c r="K5" s="491"/>
      <c r="L5" s="492" t="str">
        <f aca="true">IF(Build!AB617,OFFSET(Spells!M$2,Build!AB617,0),"")</f>
        <v/>
      </c>
      <c r="M5" s="492"/>
      <c r="N5" s="492" t="str">
        <f aca="true">IF(Build!AB617,OFFSET(Spells!N$2,Build!AB617,0),"")</f>
        <v/>
      </c>
      <c r="O5" s="492"/>
      <c r="P5" s="492" t="str">
        <f aca="true">IF(Build!AB617,OFFSET(Spells!O$2,Build!AB617,0),"")</f>
        <v/>
      </c>
      <c r="Q5" s="492"/>
      <c r="R5" s="492" t="str">
        <f aca="true">IF(Build!AB617,OFFSET(Spells!P$2,Build!AB617,0),"")</f>
        <v/>
      </c>
      <c r="S5" s="492"/>
      <c r="T5" s="492" t="str">
        <f aca="true">IF(Build!AB617,OFFSET(Spells!Q$2,Build!AB617,0),"")</f>
        <v/>
      </c>
      <c r="U5" s="492"/>
      <c r="V5" s="492"/>
      <c r="W5" s="492" t="str">
        <f aca="true">IF(Build!AB617,OFFSET(Spells!S$2,Build!AB617,0),"")</f>
        <v/>
      </c>
      <c r="X5" s="492"/>
      <c r="Y5" s="492"/>
      <c r="Z5" s="507" t="str">
        <f aca="false">Build!AH617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IF(Build!AB617,OFFSET(Spells!T$2,Build!AB617,0),"")</f>
        <v/>
      </c>
      <c r="AL5" s="508"/>
      <c r="AM5" s="508"/>
    </row>
    <row r="6" customFormat="false" ht="11.1" hidden="false" customHeight="true" outlineLevel="0" collapsed="false">
      <c r="A6" s="389"/>
      <c r="B6" s="389"/>
      <c r="C6" s="491" t="str">
        <f aca="true">IF(Build!AB618,OFFSET(Spells!L$2,Build!AB618,0),"")</f>
        <v/>
      </c>
      <c r="D6" s="491"/>
      <c r="E6" s="491"/>
      <c r="F6" s="491"/>
      <c r="G6" s="491"/>
      <c r="H6" s="491"/>
      <c r="I6" s="491"/>
      <c r="J6" s="491"/>
      <c r="K6" s="491"/>
      <c r="L6" s="492" t="str">
        <f aca="true">IF(Build!AB618,OFFSET(Spells!M$2,Build!AB618,0),"")</f>
        <v/>
      </c>
      <c r="M6" s="492"/>
      <c r="N6" s="492" t="str">
        <f aca="true">IF(Build!AB618,OFFSET(Spells!N$2,Build!AB618,0),"")</f>
        <v/>
      </c>
      <c r="O6" s="492"/>
      <c r="P6" s="492" t="str">
        <f aca="true">IF(Build!AB618,OFFSET(Spells!O$2,Build!AB618,0),"")</f>
        <v/>
      </c>
      <c r="Q6" s="492"/>
      <c r="R6" s="492" t="str">
        <f aca="true">IF(Build!AB618,OFFSET(Spells!P$2,Build!AB618,0),"")</f>
        <v/>
      </c>
      <c r="S6" s="492"/>
      <c r="T6" s="492" t="str">
        <f aca="true">IF(Build!AB618,OFFSET(Spells!Q$2,Build!AB618,0),"")</f>
        <v/>
      </c>
      <c r="U6" s="492"/>
      <c r="V6" s="492"/>
      <c r="W6" s="492" t="str">
        <f aca="true">IF(Build!AB618,OFFSET(Spells!S$2,Build!AB618,0),"")</f>
        <v/>
      </c>
      <c r="X6" s="492"/>
      <c r="Y6" s="492"/>
      <c r="Z6" s="507" t="str">
        <f aca="false">Build!AH618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IF(Build!AB618,OFFSET(Spells!T$2,Build!AB618,0),"")</f>
        <v/>
      </c>
      <c r="AL6" s="508"/>
      <c r="AM6" s="508"/>
    </row>
    <row r="7" customFormat="false" ht="11.1" hidden="false" customHeight="true" outlineLevel="0" collapsed="false">
      <c r="A7" s="389"/>
      <c r="B7" s="389"/>
      <c r="C7" s="491" t="str">
        <f aca="true">IF(Build!AB619,OFFSET(Spells!L$2,Build!AB619,0),"")</f>
        <v/>
      </c>
      <c r="D7" s="491"/>
      <c r="E7" s="491"/>
      <c r="F7" s="491"/>
      <c r="G7" s="491"/>
      <c r="H7" s="491"/>
      <c r="I7" s="491"/>
      <c r="J7" s="491"/>
      <c r="K7" s="491"/>
      <c r="L7" s="492" t="str">
        <f aca="true">IF(Build!AB619,OFFSET(Spells!M$2,Build!AB619,0),"")</f>
        <v/>
      </c>
      <c r="M7" s="492"/>
      <c r="N7" s="492" t="str">
        <f aca="true">IF(Build!AB619,OFFSET(Spells!N$2,Build!AB619,0),"")</f>
        <v/>
      </c>
      <c r="O7" s="492"/>
      <c r="P7" s="492" t="str">
        <f aca="true">IF(Build!AB619,OFFSET(Spells!O$2,Build!AB619,0),"")</f>
        <v/>
      </c>
      <c r="Q7" s="492"/>
      <c r="R7" s="492" t="str">
        <f aca="true">IF(Build!AB619,OFFSET(Spells!P$2,Build!AB619,0),"")</f>
        <v/>
      </c>
      <c r="S7" s="492"/>
      <c r="T7" s="492" t="str">
        <f aca="true">IF(Build!AB619,OFFSET(Spells!Q$2,Build!AB619,0),"")</f>
        <v/>
      </c>
      <c r="U7" s="492"/>
      <c r="V7" s="492"/>
      <c r="W7" s="492" t="str">
        <f aca="true">IF(Build!AB619,OFFSET(Spells!S$2,Build!AB619,0),"")</f>
        <v/>
      </c>
      <c r="X7" s="492"/>
      <c r="Y7" s="492"/>
      <c r="Z7" s="507" t="str">
        <f aca="false">Build!AH619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IF(Build!AB619,OFFSET(Spells!T$2,Build!AB619,0),"")</f>
        <v/>
      </c>
      <c r="AL7" s="508"/>
      <c r="AM7" s="508"/>
    </row>
    <row r="8" customFormat="false" ht="11.1" hidden="false" customHeight="true" outlineLevel="0" collapsed="false">
      <c r="A8" s="389"/>
      <c r="B8" s="389"/>
      <c r="C8" s="491" t="str">
        <f aca="true">IF(Build!AB620,OFFSET(Spells!L$2,Build!AB620,0),"")</f>
        <v/>
      </c>
      <c r="D8" s="491"/>
      <c r="E8" s="491"/>
      <c r="F8" s="491"/>
      <c r="G8" s="491"/>
      <c r="H8" s="491"/>
      <c r="I8" s="491"/>
      <c r="J8" s="491"/>
      <c r="K8" s="491"/>
      <c r="L8" s="492" t="str">
        <f aca="true">IF(Build!AB620,OFFSET(Spells!M$2,Build!AB620,0),"")</f>
        <v/>
      </c>
      <c r="M8" s="492"/>
      <c r="N8" s="492" t="str">
        <f aca="true">IF(Build!AB620,OFFSET(Spells!N$2,Build!AB620,0),"")</f>
        <v/>
      </c>
      <c r="O8" s="492"/>
      <c r="P8" s="492" t="str">
        <f aca="true">IF(Build!AB620,OFFSET(Spells!O$2,Build!AB620,0),"")</f>
        <v/>
      </c>
      <c r="Q8" s="492"/>
      <c r="R8" s="492" t="str">
        <f aca="true">IF(Build!AB620,OFFSET(Spells!P$2,Build!AB620,0),"")</f>
        <v/>
      </c>
      <c r="S8" s="492"/>
      <c r="T8" s="492" t="str">
        <f aca="true">IF(Build!AB620,OFFSET(Spells!Q$2,Build!AB620,0),"")</f>
        <v/>
      </c>
      <c r="U8" s="492"/>
      <c r="V8" s="492"/>
      <c r="W8" s="492" t="str">
        <f aca="true">IF(Build!AB620,OFFSET(Spells!S$2,Build!AB620,0),"")</f>
        <v/>
      </c>
      <c r="X8" s="492"/>
      <c r="Y8" s="492"/>
      <c r="Z8" s="507" t="str">
        <f aca="false">Build!AH620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IF(Build!AB620,OFFSET(Spells!T$2,Build!AB620,0),"")</f>
        <v/>
      </c>
      <c r="AL8" s="508"/>
      <c r="AM8" s="508"/>
    </row>
    <row r="9" customFormat="false" ht="11.1" hidden="false" customHeight="true" outlineLevel="0" collapsed="false">
      <c r="A9" s="389"/>
      <c r="B9" s="389"/>
      <c r="C9" s="491" t="str">
        <f aca="true">IF(Build!AB621,OFFSET(Spells!L$2,Build!AB621,0),"")</f>
        <v/>
      </c>
      <c r="D9" s="491"/>
      <c r="E9" s="491"/>
      <c r="F9" s="491"/>
      <c r="G9" s="491"/>
      <c r="H9" s="491"/>
      <c r="I9" s="491"/>
      <c r="J9" s="491"/>
      <c r="K9" s="491"/>
      <c r="L9" s="492" t="str">
        <f aca="true">IF(Build!AB621,OFFSET(Spells!M$2,Build!AB621,0),"")</f>
        <v/>
      </c>
      <c r="M9" s="492"/>
      <c r="N9" s="492" t="str">
        <f aca="true">IF(Build!AB621,OFFSET(Spells!N$2,Build!AB621,0),"")</f>
        <v/>
      </c>
      <c r="O9" s="492"/>
      <c r="P9" s="492" t="str">
        <f aca="true">IF(Build!AB621,OFFSET(Spells!O$2,Build!AB621,0),"")</f>
        <v/>
      </c>
      <c r="Q9" s="492"/>
      <c r="R9" s="492" t="str">
        <f aca="true">IF(Build!AB621,OFFSET(Spells!P$2,Build!AB621,0),"")</f>
        <v/>
      </c>
      <c r="S9" s="492"/>
      <c r="T9" s="492" t="str">
        <f aca="true">IF(Build!AB621,OFFSET(Spells!Q$2,Build!AB621,0),"")</f>
        <v/>
      </c>
      <c r="U9" s="492"/>
      <c r="V9" s="492"/>
      <c r="W9" s="492" t="str">
        <f aca="true">IF(Build!AB621,OFFSET(Spells!S$2,Build!AB621,0),"")</f>
        <v/>
      </c>
      <c r="X9" s="492"/>
      <c r="Y9" s="492"/>
      <c r="Z9" s="507" t="str">
        <f aca="false">Build!AH621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IF(Build!AB621,OFFSET(Spells!T$2,Build!AB621,0),"")</f>
        <v/>
      </c>
      <c r="AL9" s="508"/>
      <c r="AM9" s="508"/>
    </row>
    <row r="10" customFormat="false" ht="11.1" hidden="false" customHeight="true" outlineLevel="0" collapsed="false">
      <c r="A10" s="389"/>
      <c r="B10" s="389"/>
      <c r="C10" s="491" t="str">
        <f aca="true">IF(Build!AB622,OFFSET(Spells!L$2,Build!AB622,0),"")</f>
        <v/>
      </c>
      <c r="D10" s="491"/>
      <c r="E10" s="491"/>
      <c r="F10" s="491"/>
      <c r="G10" s="491"/>
      <c r="H10" s="491"/>
      <c r="I10" s="491"/>
      <c r="J10" s="491"/>
      <c r="K10" s="491"/>
      <c r="L10" s="492" t="str">
        <f aca="true">IF(Build!AB622,OFFSET(Spells!M$2,Build!AB622,0),"")</f>
        <v/>
      </c>
      <c r="M10" s="492"/>
      <c r="N10" s="492" t="str">
        <f aca="true">IF(Build!AB622,OFFSET(Spells!N$2,Build!AB622,0),"")</f>
        <v/>
      </c>
      <c r="O10" s="492"/>
      <c r="P10" s="492" t="str">
        <f aca="true">IF(Build!AB622,OFFSET(Spells!O$2,Build!AB622,0),"")</f>
        <v/>
      </c>
      <c r="Q10" s="492"/>
      <c r="R10" s="492" t="str">
        <f aca="true">IF(Build!AB622,OFFSET(Spells!P$2,Build!AB622,0),"")</f>
        <v/>
      </c>
      <c r="S10" s="492"/>
      <c r="T10" s="492" t="str">
        <f aca="true">IF(Build!AB622,OFFSET(Spells!Q$2,Build!AB622,0),"")</f>
        <v/>
      </c>
      <c r="U10" s="492"/>
      <c r="V10" s="492"/>
      <c r="W10" s="492" t="str">
        <f aca="true">IF(Build!AB622,OFFSET(Spells!S$2,Build!AB622,0),"")</f>
        <v/>
      </c>
      <c r="X10" s="492"/>
      <c r="Y10" s="492"/>
      <c r="Z10" s="507" t="str">
        <f aca="false">Build!AH622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IF(Build!AB622,OFFSET(Spells!T$2,Build!AB622,0),"")</f>
        <v/>
      </c>
      <c r="AL10" s="508"/>
      <c r="AM10" s="508"/>
    </row>
    <row r="11" customFormat="false" ht="11.1" hidden="false" customHeight="true" outlineLevel="0" collapsed="false">
      <c r="A11" s="389"/>
      <c r="B11" s="389"/>
      <c r="C11" s="491" t="str">
        <f aca="true">IF(Build!AB623,OFFSET(Spells!L$2,Build!AB623,0),"")</f>
        <v/>
      </c>
      <c r="D11" s="491"/>
      <c r="E11" s="491"/>
      <c r="F11" s="491"/>
      <c r="G11" s="491"/>
      <c r="H11" s="491"/>
      <c r="I11" s="491"/>
      <c r="J11" s="491"/>
      <c r="K11" s="491"/>
      <c r="L11" s="492" t="str">
        <f aca="true">IF(Build!AB623,OFFSET(Spells!M$2,Build!AB623,0),"")</f>
        <v/>
      </c>
      <c r="M11" s="492"/>
      <c r="N11" s="492" t="str">
        <f aca="true">IF(Build!AB623,OFFSET(Spells!N$2,Build!AB623,0),"")</f>
        <v/>
      </c>
      <c r="O11" s="492"/>
      <c r="P11" s="492" t="str">
        <f aca="true">IF(Build!AB623,OFFSET(Spells!O$2,Build!AB623,0),"")</f>
        <v/>
      </c>
      <c r="Q11" s="492"/>
      <c r="R11" s="492" t="str">
        <f aca="true">IF(Build!AB623,OFFSET(Spells!P$2,Build!AB623,0),"")</f>
        <v/>
      </c>
      <c r="S11" s="492"/>
      <c r="T11" s="492" t="str">
        <f aca="true">IF(Build!AB623,OFFSET(Spells!Q$2,Build!AB623,0),"")</f>
        <v/>
      </c>
      <c r="U11" s="492"/>
      <c r="V11" s="492"/>
      <c r="W11" s="492" t="str">
        <f aca="true">IF(Build!AB623,OFFSET(Spells!S$2,Build!AB623,0),"")</f>
        <v/>
      </c>
      <c r="X11" s="492"/>
      <c r="Y11" s="492"/>
      <c r="Z11" s="507" t="str">
        <f aca="false">Build!AH623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IF(Build!AB623,OFFSET(Spells!T$2,Build!AB623,0),"")</f>
        <v/>
      </c>
      <c r="AL11" s="508"/>
      <c r="AM11" s="508"/>
    </row>
    <row r="12" customFormat="false" ht="11.1" hidden="false" customHeight="true" outlineLevel="0" collapsed="false">
      <c r="A12" s="389"/>
      <c r="B12" s="389"/>
      <c r="C12" s="491" t="str">
        <f aca="true">IF(Build!AB624,OFFSET(Spells!L$2,Build!AB624,0),"")</f>
        <v/>
      </c>
      <c r="D12" s="491"/>
      <c r="E12" s="491"/>
      <c r="F12" s="491"/>
      <c r="G12" s="491"/>
      <c r="H12" s="491"/>
      <c r="I12" s="491"/>
      <c r="J12" s="491"/>
      <c r="K12" s="491"/>
      <c r="L12" s="492" t="str">
        <f aca="true">IF(Build!AB624,OFFSET(Spells!M$2,Build!AB624,0),"")</f>
        <v/>
      </c>
      <c r="M12" s="492"/>
      <c r="N12" s="492" t="str">
        <f aca="true">IF(Build!AB624,OFFSET(Spells!N$2,Build!AB624,0),"")</f>
        <v/>
      </c>
      <c r="O12" s="492"/>
      <c r="P12" s="492" t="str">
        <f aca="true">IF(Build!AB624,OFFSET(Spells!O$2,Build!AB624,0),"")</f>
        <v/>
      </c>
      <c r="Q12" s="492"/>
      <c r="R12" s="492" t="str">
        <f aca="true">IF(Build!AB624,OFFSET(Spells!P$2,Build!AB624,0),"")</f>
        <v/>
      </c>
      <c r="S12" s="492"/>
      <c r="T12" s="492" t="str">
        <f aca="true">IF(Build!AB624,OFFSET(Spells!Q$2,Build!AB624,0),"")</f>
        <v/>
      </c>
      <c r="U12" s="492"/>
      <c r="V12" s="492"/>
      <c r="W12" s="492" t="str">
        <f aca="true">IF(Build!AB624,OFFSET(Spells!S$2,Build!AB624,0),"")</f>
        <v/>
      </c>
      <c r="X12" s="492"/>
      <c r="Y12" s="492"/>
      <c r="Z12" s="507" t="str">
        <f aca="false">Build!AH624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IF(Build!AB624,OFFSET(Spells!T$2,Build!AB624,0),"")</f>
        <v/>
      </c>
      <c r="AL12" s="508"/>
      <c r="AM12" s="508"/>
    </row>
    <row r="13" customFormat="false" ht="11.1" hidden="false" customHeight="true" outlineLevel="0" collapsed="false">
      <c r="A13" s="389"/>
      <c r="B13" s="389"/>
      <c r="C13" s="491" t="str">
        <f aca="true">IF(Build!AB625,OFFSET(Spells!L$2,Build!AB625,0),"")</f>
        <v/>
      </c>
      <c r="D13" s="491"/>
      <c r="E13" s="491"/>
      <c r="F13" s="491"/>
      <c r="G13" s="491"/>
      <c r="H13" s="491"/>
      <c r="I13" s="491"/>
      <c r="J13" s="491"/>
      <c r="K13" s="491"/>
      <c r="L13" s="492" t="str">
        <f aca="true">IF(Build!AB625,OFFSET(Spells!M$2,Build!AB625,0),"")</f>
        <v/>
      </c>
      <c r="M13" s="492"/>
      <c r="N13" s="492" t="str">
        <f aca="true">IF(Build!AB625,OFFSET(Spells!N$2,Build!AB625,0),"")</f>
        <v/>
      </c>
      <c r="O13" s="492"/>
      <c r="P13" s="492" t="str">
        <f aca="true">IF(Build!AB625,OFFSET(Spells!O$2,Build!AB625,0),"")</f>
        <v/>
      </c>
      <c r="Q13" s="492"/>
      <c r="R13" s="492" t="str">
        <f aca="true">IF(Build!AB625,OFFSET(Spells!P$2,Build!AB625,0),"")</f>
        <v/>
      </c>
      <c r="S13" s="492"/>
      <c r="T13" s="492" t="str">
        <f aca="true">IF(Build!AB625,OFFSET(Spells!Q$2,Build!AB625,0),"")</f>
        <v/>
      </c>
      <c r="U13" s="492"/>
      <c r="V13" s="492"/>
      <c r="W13" s="492" t="str">
        <f aca="true">IF(Build!AB625,OFFSET(Spells!S$2,Build!AB625,0),"")</f>
        <v/>
      </c>
      <c r="X13" s="492"/>
      <c r="Y13" s="492"/>
      <c r="Z13" s="507" t="str">
        <f aca="false">Build!AH625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IF(Build!AB625,OFFSET(Spells!T$2,Build!AB625,0),"")</f>
        <v/>
      </c>
      <c r="AL13" s="508"/>
      <c r="AM13" s="508"/>
    </row>
    <row r="14" customFormat="false" ht="11.1" hidden="false" customHeight="true" outlineLevel="0" collapsed="false">
      <c r="A14" s="389"/>
      <c r="B14" s="389"/>
      <c r="C14" s="491" t="str">
        <f aca="true">IF(Build!AB626,OFFSET(Spells!L$2,Build!AB626,0),"")</f>
        <v/>
      </c>
      <c r="D14" s="491"/>
      <c r="E14" s="491"/>
      <c r="F14" s="491"/>
      <c r="G14" s="491"/>
      <c r="H14" s="491"/>
      <c r="I14" s="491"/>
      <c r="J14" s="491"/>
      <c r="K14" s="491"/>
      <c r="L14" s="492" t="str">
        <f aca="true">IF(Build!AB626,OFFSET(Spells!M$2,Build!AB626,0),"")</f>
        <v/>
      </c>
      <c r="M14" s="492"/>
      <c r="N14" s="492" t="str">
        <f aca="true">IF(Build!AB626,OFFSET(Spells!N$2,Build!AB626,0),"")</f>
        <v/>
      </c>
      <c r="O14" s="492"/>
      <c r="P14" s="492" t="str">
        <f aca="true">IF(Build!AB626,OFFSET(Spells!O$2,Build!AB626,0),"")</f>
        <v/>
      </c>
      <c r="Q14" s="492"/>
      <c r="R14" s="492" t="str">
        <f aca="true">IF(Build!AB626,OFFSET(Spells!P$2,Build!AB626,0),"")</f>
        <v/>
      </c>
      <c r="S14" s="492"/>
      <c r="T14" s="492" t="str">
        <f aca="true">IF(Build!AB626,OFFSET(Spells!Q$2,Build!AB626,0),"")</f>
        <v/>
      </c>
      <c r="U14" s="492"/>
      <c r="V14" s="492"/>
      <c r="W14" s="492" t="str">
        <f aca="true">IF(Build!AB626,OFFSET(Spells!S$2,Build!AB626,0),"")</f>
        <v/>
      </c>
      <c r="X14" s="492"/>
      <c r="Y14" s="492"/>
      <c r="Z14" s="507" t="str">
        <f aca="false">Build!AH626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IF(Build!AB626,OFFSET(Spells!T$2,Build!AB626,0),"")</f>
        <v/>
      </c>
      <c r="AL14" s="508"/>
      <c r="AM14" s="508"/>
    </row>
    <row r="15" customFormat="false" ht="11.1" hidden="false" customHeight="true" outlineLevel="0" collapsed="false">
      <c r="A15" s="389"/>
      <c r="B15" s="389"/>
      <c r="C15" s="491" t="str">
        <f aca="true">IF(Build!AB627,OFFSET(Spells!L$2,Build!AB627,0),"")</f>
        <v/>
      </c>
      <c r="D15" s="491"/>
      <c r="E15" s="491"/>
      <c r="F15" s="491"/>
      <c r="G15" s="491"/>
      <c r="H15" s="491"/>
      <c r="I15" s="491"/>
      <c r="J15" s="491"/>
      <c r="K15" s="491"/>
      <c r="L15" s="492" t="str">
        <f aca="true">IF(Build!AB627,OFFSET(Spells!M$2,Build!AB627,0),"")</f>
        <v/>
      </c>
      <c r="M15" s="492"/>
      <c r="N15" s="492" t="str">
        <f aca="true">IF(Build!AB627,OFFSET(Spells!N$2,Build!AB627,0),"")</f>
        <v/>
      </c>
      <c r="O15" s="492"/>
      <c r="P15" s="492" t="str">
        <f aca="true">IF(Build!AB627,OFFSET(Spells!O$2,Build!AB627,0),"")</f>
        <v/>
      </c>
      <c r="Q15" s="492"/>
      <c r="R15" s="492" t="str">
        <f aca="true">IF(Build!AB627,OFFSET(Spells!P$2,Build!AB627,0),"")</f>
        <v/>
      </c>
      <c r="S15" s="492"/>
      <c r="T15" s="492" t="str">
        <f aca="true">IF(Build!AB627,OFFSET(Spells!Q$2,Build!AB627,0),"")</f>
        <v/>
      </c>
      <c r="U15" s="492"/>
      <c r="V15" s="492"/>
      <c r="W15" s="492" t="str">
        <f aca="true">IF(Build!AB627,OFFSET(Spells!S$2,Build!AB627,0),"")</f>
        <v/>
      </c>
      <c r="X15" s="492"/>
      <c r="Y15" s="492"/>
      <c r="Z15" s="507" t="str">
        <f aca="false">Build!AH627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IF(Build!AB627,OFFSET(Spells!T$2,Build!AB627,0),"")</f>
        <v/>
      </c>
      <c r="AL15" s="508"/>
      <c r="AM15" s="508"/>
    </row>
    <row r="16" customFormat="false" ht="11.1" hidden="false" customHeight="true" outlineLevel="0" collapsed="false">
      <c r="A16" s="389"/>
      <c r="B16" s="389"/>
      <c r="C16" s="491" t="str">
        <f aca="true">IF(Build!AB628,OFFSET(Spells!L$2,Build!AB628,0),"")</f>
        <v/>
      </c>
      <c r="D16" s="491"/>
      <c r="E16" s="491"/>
      <c r="F16" s="491"/>
      <c r="G16" s="491"/>
      <c r="H16" s="491"/>
      <c r="I16" s="491"/>
      <c r="J16" s="491"/>
      <c r="K16" s="491"/>
      <c r="L16" s="492" t="str">
        <f aca="true">IF(Build!AB628,OFFSET(Spells!M$2,Build!AB628,0),"")</f>
        <v/>
      </c>
      <c r="M16" s="492"/>
      <c r="N16" s="492" t="str">
        <f aca="true">IF(Build!AB628,OFFSET(Spells!N$2,Build!AB628,0),"")</f>
        <v/>
      </c>
      <c r="O16" s="492"/>
      <c r="P16" s="492" t="str">
        <f aca="true">IF(Build!AB628,OFFSET(Spells!O$2,Build!AB628,0),"")</f>
        <v/>
      </c>
      <c r="Q16" s="492"/>
      <c r="R16" s="492" t="str">
        <f aca="true">IF(Build!AB628,OFFSET(Spells!P$2,Build!AB628,0),"")</f>
        <v/>
      </c>
      <c r="S16" s="492"/>
      <c r="T16" s="492" t="str">
        <f aca="true">IF(Build!AB628,OFFSET(Spells!Q$2,Build!AB628,0),"")</f>
        <v/>
      </c>
      <c r="U16" s="492"/>
      <c r="V16" s="492"/>
      <c r="W16" s="492" t="str">
        <f aca="true">IF(Build!AB628,OFFSET(Spells!S$2,Build!AB628,0),"")</f>
        <v/>
      </c>
      <c r="X16" s="492"/>
      <c r="Y16" s="492"/>
      <c r="Z16" s="507" t="str">
        <f aca="false">Build!AH628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IF(Build!AB628,OFFSET(Spells!T$2,Build!AB628,0),"")</f>
        <v/>
      </c>
      <c r="AL16" s="508"/>
      <c r="AM16" s="508"/>
    </row>
    <row r="17" customFormat="false" ht="11.1" hidden="false" customHeight="true" outlineLevel="0" collapsed="false">
      <c r="A17" s="389"/>
      <c r="B17" s="389"/>
      <c r="C17" s="491" t="str">
        <f aca="true">IF(Build!AB629,OFFSET(Spells!L$2,Build!AB629,0),"")</f>
        <v/>
      </c>
      <c r="D17" s="491"/>
      <c r="E17" s="491"/>
      <c r="F17" s="491"/>
      <c r="G17" s="491"/>
      <c r="H17" s="491"/>
      <c r="I17" s="491"/>
      <c r="J17" s="491"/>
      <c r="K17" s="491"/>
      <c r="L17" s="492" t="str">
        <f aca="true">IF(Build!AB629,OFFSET(Spells!M$2,Build!AB629,0),"")</f>
        <v/>
      </c>
      <c r="M17" s="492"/>
      <c r="N17" s="492" t="str">
        <f aca="true">IF(Build!AB629,OFFSET(Spells!N$2,Build!AB629,0),"")</f>
        <v/>
      </c>
      <c r="O17" s="492"/>
      <c r="P17" s="492" t="str">
        <f aca="true">IF(Build!AB629,OFFSET(Spells!O$2,Build!AB629,0),"")</f>
        <v/>
      </c>
      <c r="Q17" s="492"/>
      <c r="R17" s="492" t="str">
        <f aca="true">IF(Build!AB629,OFFSET(Spells!P$2,Build!AB629,0),"")</f>
        <v/>
      </c>
      <c r="S17" s="492"/>
      <c r="T17" s="492" t="str">
        <f aca="true">IF(Build!AB629,OFFSET(Spells!Q$2,Build!AB629,0),"")</f>
        <v/>
      </c>
      <c r="U17" s="492"/>
      <c r="V17" s="492"/>
      <c r="W17" s="492" t="str">
        <f aca="true">IF(Build!AB629,OFFSET(Spells!S$2,Build!AB629,0),"")</f>
        <v/>
      </c>
      <c r="X17" s="492"/>
      <c r="Y17" s="492"/>
      <c r="Z17" s="507" t="str">
        <f aca="false">Build!AH629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IF(Build!AB629,OFFSET(Spells!T$2,Build!AB629,0),"")</f>
        <v/>
      </c>
      <c r="AL17" s="508"/>
      <c r="AM17" s="508"/>
    </row>
    <row r="18" customFormat="false" ht="11.1" hidden="false" customHeight="true" outlineLevel="0" collapsed="false">
      <c r="A18" s="389"/>
      <c r="B18" s="389"/>
      <c r="C18" s="491" t="str">
        <f aca="true">IF(Build!AB630,OFFSET(Spells!L$2,Build!AB630,0),"")</f>
        <v/>
      </c>
      <c r="D18" s="491"/>
      <c r="E18" s="491"/>
      <c r="F18" s="491"/>
      <c r="G18" s="491"/>
      <c r="H18" s="491"/>
      <c r="I18" s="491"/>
      <c r="J18" s="491"/>
      <c r="K18" s="491"/>
      <c r="L18" s="492" t="str">
        <f aca="true">IF(Build!AB630,OFFSET(Spells!M$2,Build!AB630,0),"")</f>
        <v/>
      </c>
      <c r="M18" s="492"/>
      <c r="N18" s="492" t="str">
        <f aca="true">IF(Build!AB630,OFFSET(Spells!N$2,Build!AB630,0),"")</f>
        <v/>
      </c>
      <c r="O18" s="492"/>
      <c r="P18" s="492" t="str">
        <f aca="true">IF(Build!AB630,OFFSET(Spells!O$2,Build!AB630,0),"")</f>
        <v/>
      </c>
      <c r="Q18" s="492"/>
      <c r="R18" s="492" t="str">
        <f aca="true">IF(Build!AB630,OFFSET(Spells!P$2,Build!AB630,0),"")</f>
        <v/>
      </c>
      <c r="S18" s="492"/>
      <c r="T18" s="492" t="str">
        <f aca="true">IF(Build!AB630,OFFSET(Spells!Q$2,Build!AB630,0),"")</f>
        <v/>
      </c>
      <c r="U18" s="492"/>
      <c r="V18" s="492"/>
      <c r="W18" s="492" t="str">
        <f aca="true">IF(Build!AB630,OFFSET(Spells!S$2,Build!AB630,0),"")</f>
        <v/>
      </c>
      <c r="X18" s="492"/>
      <c r="Y18" s="492"/>
      <c r="Z18" s="507" t="str">
        <f aca="false">Build!AH630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IF(Build!AB630,OFFSET(Spells!T$2,Build!AB630,0),"")</f>
        <v/>
      </c>
      <c r="AL18" s="508"/>
      <c r="AM18" s="508"/>
    </row>
    <row r="19" customFormat="false" ht="11.1" hidden="false" customHeight="true" outlineLevel="0" collapsed="false">
      <c r="A19" s="389"/>
      <c r="B19" s="389"/>
      <c r="C19" s="491" t="str">
        <f aca="true">IF(Build!AB631,OFFSET(Spells!L$2,Build!AB631,0),"")</f>
        <v/>
      </c>
      <c r="D19" s="491"/>
      <c r="E19" s="491"/>
      <c r="F19" s="491"/>
      <c r="G19" s="491"/>
      <c r="H19" s="491"/>
      <c r="I19" s="491"/>
      <c r="J19" s="491"/>
      <c r="K19" s="491"/>
      <c r="L19" s="492" t="str">
        <f aca="true">IF(Build!AB631,OFFSET(Spells!M$2,Build!AB631,0),"")</f>
        <v/>
      </c>
      <c r="M19" s="492"/>
      <c r="N19" s="492" t="str">
        <f aca="true">IF(Build!AB631,OFFSET(Spells!N$2,Build!AB631,0),"")</f>
        <v/>
      </c>
      <c r="O19" s="492"/>
      <c r="P19" s="492" t="str">
        <f aca="true">IF(Build!AB631,OFFSET(Spells!O$2,Build!AB631,0),"")</f>
        <v/>
      </c>
      <c r="Q19" s="492"/>
      <c r="R19" s="492" t="str">
        <f aca="true">IF(Build!AB631,OFFSET(Spells!P$2,Build!AB631,0),"")</f>
        <v/>
      </c>
      <c r="S19" s="492"/>
      <c r="T19" s="492" t="str">
        <f aca="true">IF(Build!AB631,OFFSET(Spells!Q$2,Build!AB631,0),"")</f>
        <v/>
      </c>
      <c r="U19" s="492"/>
      <c r="V19" s="492"/>
      <c r="W19" s="492" t="str">
        <f aca="true">IF(Build!AB631,OFFSET(Spells!S$2,Build!AB631,0),"")</f>
        <v/>
      </c>
      <c r="X19" s="492"/>
      <c r="Y19" s="492"/>
      <c r="Z19" s="507" t="str">
        <f aca="false">Build!AH631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IF(Build!AB631,OFFSET(Spells!T$2,Build!AB631,0),"")</f>
        <v/>
      </c>
      <c r="AL19" s="508"/>
      <c r="AM19" s="508"/>
    </row>
    <row r="20" customFormat="false" ht="11.1" hidden="false" customHeight="true" outlineLevel="0" collapsed="false">
      <c r="A20" s="389"/>
      <c r="B20" s="389"/>
      <c r="C20" s="491" t="str">
        <f aca="true">IF(Build!AB632,OFFSET(Spells!L$2,Build!AB632,0),"")</f>
        <v/>
      </c>
      <c r="D20" s="491"/>
      <c r="E20" s="491"/>
      <c r="F20" s="491"/>
      <c r="G20" s="491"/>
      <c r="H20" s="491"/>
      <c r="I20" s="491"/>
      <c r="J20" s="491"/>
      <c r="K20" s="491"/>
      <c r="L20" s="492" t="str">
        <f aca="true">IF(Build!AB632,OFFSET(Spells!M$2,Build!AB632,0),"")</f>
        <v/>
      </c>
      <c r="M20" s="492"/>
      <c r="N20" s="492" t="str">
        <f aca="true">IF(Build!AB632,OFFSET(Spells!N$2,Build!AB632,0),"")</f>
        <v/>
      </c>
      <c r="O20" s="492"/>
      <c r="P20" s="492" t="str">
        <f aca="true">IF(Build!AB632,OFFSET(Spells!O$2,Build!AB632,0),"")</f>
        <v/>
      </c>
      <c r="Q20" s="492"/>
      <c r="R20" s="492" t="str">
        <f aca="true">IF(Build!AB632,OFFSET(Spells!P$2,Build!AB632,0),"")</f>
        <v/>
      </c>
      <c r="S20" s="492"/>
      <c r="T20" s="492" t="str">
        <f aca="true">IF(Build!AB632,OFFSET(Spells!Q$2,Build!AB632,0),"")</f>
        <v/>
      </c>
      <c r="U20" s="492"/>
      <c r="V20" s="492"/>
      <c r="W20" s="492" t="str">
        <f aca="true">IF(Build!AB632,OFFSET(Spells!S$2,Build!AB632,0),"")</f>
        <v/>
      </c>
      <c r="X20" s="492"/>
      <c r="Y20" s="492"/>
      <c r="Z20" s="507" t="str">
        <f aca="false">Build!AH632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IF(Build!AB632,OFFSET(Spells!T$2,Build!AB632,0),"")</f>
        <v/>
      </c>
      <c r="AL20" s="508"/>
      <c r="AM20" s="508"/>
    </row>
    <row r="21" customFormat="false" ht="11.1" hidden="false" customHeight="true" outlineLevel="0" collapsed="false">
      <c r="A21" s="389"/>
      <c r="B21" s="389"/>
      <c r="C21" s="491" t="str">
        <f aca="true">IF(Build!AB633,OFFSET(Spells!L$2,Build!AB633,0),"")</f>
        <v/>
      </c>
      <c r="D21" s="491"/>
      <c r="E21" s="491"/>
      <c r="F21" s="491"/>
      <c r="G21" s="491"/>
      <c r="H21" s="491"/>
      <c r="I21" s="491"/>
      <c r="J21" s="491"/>
      <c r="K21" s="491"/>
      <c r="L21" s="492" t="str">
        <f aca="true">IF(Build!AB633,OFFSET(Spells!M$2,Build!AB633,0),"")</f>
        <v/>
      </c>
      <c r="M21" s="492"/>
      <c r="N21" s="492" t="str">
        <f aca="true">IF(Build!AB633,OFFSET(Spells!N$2,Build!AB633,0),"")</f>
        <v/>
      </c>
      <c r="O21" s="492"/>
      <c r="P21" s="492" t="str">
        <f aca="true">IF(Build!AB633,OFFSET(Spells!O$2,Build!AB633,0),"")</f>
        <v/>
      </c>
      <c r="Q21" s="492"/>
      <c r="R21" s="492" t="str">
        <f aca="true">IF(Build!AB633,OFFSET(Spells!P$2,Build!AB633,0),"")</f>
        <v/>
      </c>
      <c r="S21" s="492"/>
      <c r="T21" s="492" t="str">
        <f aca="true">IF(Build!AB633,OFFSET(Spells!Q$2,Build!AB633,0),"")</f>
        <v/>
      </c>
      <c r="U21" s="492"/>
      <c r="V21" s="492"/>
      <c r="W21" s="492" t="str">
        <f aca="true">IF(Build!AB633,OFFSET(Spells!S$2,Build!AB633,0),"")</f>
        <v/>
      </c>
      <c r="X21" s="492"/>
      <c r="Y21" s="492"/>
      <c r="Z21" s="507" t="str">
        <f aca="false">Build!AH633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IF(Build!AB633,OFFSET(Spells!T$2,Build!AB633,0),"")</f>
        <v/>
      </c>
      <c r="AL21" s="508"/>
      <c r="AM21" s="508"/>
    </row>
    <row r="22" customFormat="false" ht="11.1" hidden="false" customHeight="true" outlineLevel="0" collapsed="false">
      <c r="A22" s="389"/>
      <c r="B22" s="389"/>
      <c r="C22" s="491" t="str">
        <f aca="true">IF(Build!AB634,OFFSET(Spells!L$2,Build!AB634,0),"")</f>
        <v/>
      </c>
      <c r="D22" s="491"/>
      <c r="E22" s="491"/>
      <c r="F22" s="491"/>
      <c r="G22" s="491"/>
      <c r="H22" s="491"/>
      <c r="I22" s="491"/>
      <c r="J22" s="491"/>
      <c r="K22" s="491"/>
      <c r="L22" s="492" t="str">
        <f aca="true">IF(Build!AB634,OFFSET(Spells!M$2,Build!AB634,0),"")</f>
        <v/>
      </c>
      <c r="M22" s="492"/>
      <c r="N22" s="492" t="str">
        <f aca="true">IF(Build!AB634,OFFSET(Spells!N$2,Build!AB634,0),"")</f>
        <v/>
      </c>
      <c r="O22" s="492"/>
      <c r="P22" s="492" t="str">
        <f aca="true">IF(Build!AB634,OFFSET(Spells!O$2,Build!AB634,0),"")</f>
        <v/>
      </c>
      <c r="Q22" s="492"/>
      <c r="R22" s="492" t="str">
        <f aca="true">IF(Build!AB634,OFFSET(Spells!P$2,Build!AB634,0),"")</f>
        <v/>
      </c>
      <c r="S22" s="492"/>
      <c r="T22" s="492" t="str">
        <f aca="true">IF(Build!AB634,OFFSET(Spells!Q$2,Build!AB634,0),"")</f>
        <v/>
      </c>
      <c r="U22" s="492"/>
      <c r="V22" s="492"/>
      <c r="W22" s="492" t="str">
        <f aca="true">IF(Build!AB634,OFFSET(Spells!S$2,Build!AB634,0),"")</f>
        <v/>
      </c>
      <c r="X22" s="492"/>
      <c r="Y22" s="492"/>
      <c r="Z22" s="507" t="str">
        <f aca="false">Build!AH634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IF(Build!AB634,OFFSET(Spells!T$2,Build!AB634,0),"")</f>
        <v/>
      </c>
      <c r="AL22" s="508"/>
      <c r="AM22" s="508"/>
    </row>
    <row r="23" customFormat="false" ht="11.1" hidden="false" customHeight="true" outlineLevel="0" collapsed="false">
      <c r="A23" s="389"/>
      <c r="B23" s="389"/>
      <c r="C23" s="491" t="str">
        <f aca="true">IF(Build!AB635,OFFSET(Spells!L$2,Build!AB635,0),"")</f>
        <v/>
      </c>
      <c r="D23" s="491"/>
      <c r="E23" s="491"/>
      <c r="F23" s="491"/>
      <c r="G23" s="491"/>
      <c r="H23" s="491"/>
      <c r="I23" s="491"/>
      <c r="J23" s="491"/>
      <c r="K23" s="491"/>
      <c r="L23" s="492" t="str">
        <f aca="true">IF(Build!AB635,OFFSET(Spells!M$2,Build!AB635,0),"")</f>
        <v/>
      </c>
      <c r="M23" s="492"/>
      <c r="N23" s="492" t="str">
        <f aca="true">IF(Build!AB635,OFFSET(Spells!N$2,Build!AB635,0),"")</f>
        <v/>
      </c>
      <c r="O23" s="492"/>
      <c r="P23" s="492" t="str">
        <f aca="true">IF(Build!AB635,OFFSET(Spells!O$2,Build!AB635,0),"")</f>
        <v/>
      </c>
      <c r="Q23" s="492"/>
      <c r="R23" s="492" t="str">
        <f aca="true">IF(Build!AB635,OFFSET(Spells!P$2,Build!AB635,0),"")</f>
        <v/>
      </c>
      <c r="S23" s="492"/>
      <c r="T23" s="492" t="str">
        <f aca="true">IF(Build!AB635,OFFSET(Spells!Q$2,Build!AB635,0),"")</f>
        <v/>
      </c>
      <c r="U23" s="492"/>
      <c r="V23" s="492"/>
      <c r="W23" s="492" t="str">
        <f aca="true">IF(Build!AB635,OFFSET(Spells!S$2,Build!AB635,0),"")</f>
        <v/>
      </c>
      <c r="X23" s="492"/>
      <c r="Y23" s="492"/>
      <c r="Z23" s="507" t="str">
        <f aca="false">Build!AH635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IF(Build!AB635,OFFSET(Spells!T$2,Build!AB635,0),"")</f>
        <v/>
      </c>
      <c r="AL23" s="508"/>
      <c r="AM23" s="508"/>
    </row>
    <row r="24" customFormat="false" ht="11.1" hidden="false" customHeight="true" outlineLevel="0" collapsed="false">
      <c r="A24" s="389"/>
      <c r="B24" s="389"/>
      <c r="C24" s="491" t="str">
        <f aca="true">IF(Build!AB636,OFFSET(Spells!L$2,Build!AB636,0),"")</f>
        <v/>
      </c>
      <c r="D24" s="491"/>
      <c r="E24" s="491"/>
      <c r="F24" s="491"/>
      <c r="G24" s="491"/>
      <c r="H24" s="491"/>
      <c r="I24" s="491"/>
      <c r="J24" s="491"/>
      <c r="K24" s="491"/>
      <c r="L24" s="492" t="str">
        <f aca="true">IF(Build!AB636,OFFSET(Spells!M$2,Build!AB636,0),"")</f>
        <v/>
      </c>
      <c r="M24" s="492"/>
      <c r="N24" s="492" t="str">
        <f aca="true">IF(Build!AB636,OFFSET(Spells!N$2,Build!AB636,0),"")</f>
        <v/>
      </c>
      <c r="O24" s="492"/>
      <c r="P24" s="492" t="str">
        <f aca="true">IF(Build!AB636,OFFSET(Spells!O$2,Build!AB636,0),"")</f>
        <v/>
      </c>
      <c r="Q24" s="492"/>
      <c r="R24" s="492" t="str">
        <f aca="true">IF(Build!AB636,OFFSET(Spells!P$2,Build!AB636,0),"")</f>
        <v/>
      </c>
      <c r="S24" s="492"/>
      <c r="T24" s="492" t="str">
        <f aca="true">IF(Build!AB636,OFFSET(Spells!Q$2,Build!AB636,0),"")</f>
        <v/>
      </c>
      <c r="U24" s="492"/>
      <c r="V24" s="492"/>
      <c r="W24" s="492" t="str">
        <f aca="true">IF(Build!AB636,OFFSET(Spells!S$2,Build!AB636,0),"")</f>
        <v/>
      </c>
      <c r="X24" s="492"/>
      <c r="Y24" s="492"/>
      <c r="Z24" s="507" t="str">
        <f aca="false">Build!AH636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IF(Build!AB636,OFFSET(Spells!T$2,Build!AB636,0),"")</f>
        <v/>
      </c>
      <c r="AL24" s="508"/>
      <c r="AM24" s="508"/>
    </row>
    <row r="25" customFormat="false" ht="11.1" hidden="false" customHeight="true" outlineLevel="0" collapsed="false">
      <c r="A25" s="389"/>
      <c r="B25" s="389"/>
      <c r="C25" s="491" t="str">
        <f aca="true">IF(Build!AB637,OFFSET(Spells!L$2,Build!AB637,0),"")</f>
        <v/>
      </c>
      <c r="D25" s="491"/>
      <c r="E25" s="491"/>
      <c r="F25" s="491"/>
      <c r="G25" s="491"/>
      <c r="H25" s="491"/>
      <c r="I25" s="491"/>
      <c r="J25" s="491"/>
      <c r="K25" s="491"/>
      <c r="L25" s="492" t="str">
        <f aca="true">IF(Build!AB637,OFFSET(Spells!M$2,Build!AB637,0),"")</f>
        <v/>
      </c>
      <c r="M25" s="492"/>
      <c r="N25" s="492" t="str">
        <f aca="true">IF(Build!AB637,OFFSET(Spells!N$2,Build!AB637,0),"")</f>
        <v/>
      </c>
      <c r="O25" s="492"/>
      <c r="P25" s="492" t="str">
        <f aca="true">IF(Build!AB637,OFFSET(Spells!O$2,Build!AB637,0),"")</f>
        <v/>
      </c>
      <c r="Q25" s="492"/>
      <c r="R25" s="492" t="str">
        <f aca="true">IF(Build!AB637,OFFSET(Spells!P$2,Build!AB637,0),"")</f>
        <v/>
      </c>
      <c r="S25" s="492"/>
      <c r="T25" s="492" t="str">
        <f aca="true">IF(Build!AB637,OFFSET(Spells!Q$2,Build!AB637,0),"")</f>
        <v/>
      </c>
      <c r="U25" s="492"/>
      <c r="V25" s="492"/>
      <c r="W25" s="492" t="str">
        <f aca="true">IF(Build!AB637,OFFSET(Spells!S$2,Build!AB637,0),"")</f>
        <v/>
      </c>
      <c r="X25" s="492"/>
      <c r="Y25" s="492"/>
      <c r="Z25" s="507" t="str">
        <f aca="false">Build!AH637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IF(Build!AB637,OFFSET(Spells!T$2,Build!AB637,0),"")</f>
        <v/>
      </c>
      <c r="AL25" s="508"/>
      <c r="AM25" s="508"/>
    </row>
    <row r="26" customFormat="false" ht="11.1" hidden="false" customHeight="true" outlineLevel="0" collapsed="false">
      <c r="A26" s="389"/>
      <c r="B26" s="389"/>
      <c r="C26" s="491" t="str">
        <f aca="true">IF(Build!AB638,OFFSET(Spells!L$2,Build!AB638,0),"")</f>
        <v/>
      </c>
      <c r="D26" s="491"/>
      <c r="E26" s="491"/>
      <c r="F26" s="491"/>
      <c r="G26" s="491"/>
      <c r="H26" s="491"/>
      <c r="I26" s="491"/>
      <c r="J26" s="491"/>
      <c r="K26" s="491"/>
      <c r="L26" s="492" t="str">
        <f aca="true">IF(Build!AB638,OFFSET(Spells!M$2,Build!AB638,0),"")</f>
        <v/>
      </c>
      <c r="M26" s="492"/>
      <c r="N26" s="492" t="str">
        <f aca="true">IF(Build!AB638,OFFSET(Spells!N$2,Build!AB638,0),"")</f>
        <v/>
      </c>
      <c r="O26" s="492"/>
      <c r="P26" s="492" t="str">
        <f aca="true">IF(Build!AB638,OFFSET(Spells!O$2,Build!AB638,0),"")</f>
        <v/>
      </c>
      <c r="Q26" s="492"/>
      <c r="R26" s="492" t="str">
        <f aca="true">IF(Build!AB638,OFFSET(Spells!P$2,Build!AB638,0),"")</f>
        <v/>
      </c>
      <c r="S26" s="492"/>
      <c r="T26" s="492" t="str">
        <f aca="true">IF(Build!AB638,OFFSET(Spells!Q$2,Build!AB638,0),"")</f>
        <v/>
      </c>
      <c r="U26" s="492"/>
      <c r="V26" s="492"/>
      <c r="W26" s="492" t="str">
        <f aca="true">IF(Build!AB638,OFFSET(Spells!S$2,Build!AB638,0),"")</f>
        <v/>
      </c>
      <c r="X26" s="492"/>
      <c r="Y26" s="492"/>
      <c r="Z26" s="507" t="str">
        <f aca="false">Build!AH638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IF(Build!AB638,OFFSET(Spells!T$2,Build!AB638,0),"")</f>
        <v/>
      </c>
      <c r="AL26" s="508"/>
      <c r="AM26" s="508"/>
    </row>
    <row r="27" customFormat="false" ht="11.1" hidden="false" customHeight="true" outlineLevel="0" collapsed="false">
      <c r="A27" s="389"/>
      <c r="B27" s="389"/>
      <c r="C27" s="491" t="str">
        <f aca="true">IF(Build!AB639,OFFSET(Spells!L$2,Build!AB639,0),"")</f>
        <v/>
      </c>
      <c r="D27" s="491"/>
      <c r="E27" s="491"/>
      <c r="F27" s="491"/>
      <c r="G27" s="491"/>
      <c r="H27" s="491"/>
      <c r="I27" s="491"/>
      <c r="J27" s="491"/>
      <c r="K27" s="491"/>
      <c r="L27" s="492" t="str">
        <f aca="true">IF(Build!AB639,OFFSET(Spells!M$2,Build!AB639,0),"")</f>
        <v/>
      </c>
      <c r="M27" s="492"/>
      <c r="N27" s="492" t="str">
        <f aca="true">IF(Build!AB639,OFFSET(Spells!N$2,Build!AB639,0),"")</f>
        <v/>
      </c>
      <c r="O27" s="492"/>
      <c r="P27" s="492" t="str">
        <f aca="true">IF(Build!AB639,OFFSET(Spells!O$2,Build!AB639,0),"")</f>
        <v/>
      </c>
      <c r="Q27" s="492"/>
      <c r="R27" s="492" t="str">
        <f aca="true">IF(Build!AB639,OFFSET(Spells!P$2,Build!AB639,0),"")</f>
        <v/>
      </c>
      <c r="S27" s="492"/>
      <c r="T27" s="492" t="str">
        <f aca="true">IF(Build!AB639,OFFSET(Spells!Q$2,Build!AB639,0),"")</f>
        <v/>
      </c>
      <c r="U27" s="492"/>
      <c r="V27" s="492"/>
      <c r="W27" s="492" t="str">
        <f aca="true">IF(Build!AB639,OFFSET(Spells!S$2,Build!AB639,0),"")</f>
        <v/>
      </c>
      <c r="X27" s="492"/>
      <c r="Y27" s="492"/>
      <c r="Z27" s="507" t="str">
        <f aca="false">Build!AH639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IF(Build!AB639,OFFSET(Spells!T$2,Build!AB639,0),"")</f>
        <v/>
      </c>
      <c r="AL27" s="508"/>
      <c r="AM27" s="508"/>
    </row>
    <row r="28" customFormat="false" ht="11.1" hidden="false" customHeight="true" outlineLevel="0" collapsed="false">
      <c r="A28" s="389"/>
      <c r="B28" s="389"/>
      <c r="C28" s="491" t="str">
        <f aca="true">IF(Build!AB640,OFFSET(Spells!L$2,Build!AB640,0),"")</f>
        <v/>
      </c>
      <c r="D28" s="491"/>
      <c r="E28" s="491"/>
      <c r="F28" s="491"/>
      <c r="G28" s="491"/>
      <c r="H28" s="491"/>
      <c r="I28" s="491"/>
      <c r="J28" s="491"/>
      <c r="K28" s="491"/>
      <c r="L28" s="492" t="str">
        <f aca="true">IF(Build!AB640,OFFSET(Spells!M$2,Build!AB640,0),"")</f>
        <v/>
      </c>
      <c r="M28" s="492"/>
      <c r="N28" s="492" t="str">
        <f aca="true">IF(Build!AB640,OFFSET(Spells!N$2,Build!AB640,0),"")</f>
        <v/>
      </c>
      <c r="O28" s="492"/>
      <c r="P28" s="492" t="str">
        <f aca="true">IF(Build!AB640,OFFSET(Spells!O$2,Build!AB640,0),"")</f>
        <v/>
      </c>
      <c r="Q28" s="492"/>
      <c r="R28" s="492" t="str">
        <f aca="true">IF(Build!AB640,OFFSET(Spells!P$2,Build!AB640,0),"")</f>
        <v/>
      </c>
      <c r="S28" s="492"/>
      <c r="T28" s="492" t="str">
        <f aca="true">IF(Build!AB640,OFFSET(Spells!Q$2,Build!AB640,0),"")</f>
        <v/>
      </c>
      <c r="U28" s="492"/>
      <c r="V28" s="492"/>
      <c r="W28" s="492" t="str">
        <f aca="true">IF(Build!AB640,OFFSET(Spells!S$2,Build!AB640,0),"")</f>
        <v/>
      </c>
      <c r="X28" s="492"/>
      <c r="Y28" s="492"/>
      <c r="Z28" s="507" t="str">
        <f aca="false">Build!AH640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IF(Build!AB640,OFFSET(Spells!T$2,Build!AB640,0),"")</f>
        <v/>
      </c>
      <c r="AL28" s="508"/>
      <c r="AM28" s="508"/>
    </row>
    <row r="29" customFormat="false" ht="11.1" hidden="false" customHeight="true" outlineLevel="0" collapsed="false">
      <c r="A29" s="389"/>
      <c r="B29" s="389"/>
      <c r="C29" s="491" t="str">
        <f aca="true">IF(Build!AB641,OFFSET(Spells!L$2,Build!AB641,0),"")</f>
        <v/>
      </c>
      <c r="D29" s="491"/>
      <c r="E29" s="491"/>
      <c r="F29" s="491"/>
      <c r="G29" s="491"/>
      <c r="H29" s="491"/>
      <c r="I29" s="491"/>
      <c r="J29" s="491"/>
      <c r="K29" s="491"/>
      <c r="L29" s="492" t="str">
        <f aca="true">IF(Build!AB641,OFFSET(Spells!M$2,Build!AB641,0),"")</f>
        <v/>
      </c>
      <c r="M29" s="492"/>
      <c r="N29" s="492" t="str">
        <f aca="true">IF(Build!AB641,OFFSET(Spells!N$2,Build!AB641,0),"")</f>
        <v/>
      </c>
      <c r="O29" s="492"/>
      <c r="P29" s="492" t="str">
        <f aca="true">IF(Build!AB641,OFFSET(Spells!O$2,Build!AB641,0),"")</f>
        <v/>
      </c>
      <c r="Q29" s="492"/>
      <c r="R29" s="492" t="str">
        <f aca="true">IF(Build!AB641,OFFSET(Spells!P$2,Build!AB641,0),"")</f>
        <v/>
      </c>
      <c r="S29" s="492"/>
      <c r="T29" s="492" t="str">
        <f aca="true">IF(Build!AB641,OFFSET(Spells!Q$2,Build!AB641,0),"")</f>
        <v/>
      </c>
      <c r="U29" s="492"/>
      <c r="V29" s="492"/>
      <c r="W29" s="492" t="str">
        <f aca="true">IF(Build!AB641,OFFSET(Spells!S$2,Build!AB641,0),"")</f>
        <v/>
      </c>
      <c r="X29" s="492"/>
      <c r="Y29" s="492"/>
      <c r="Z29" s="507" t="str">
        <f aca="false">Build!AH641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IF(Build!AB641,OFFSET(Spells!T$2,Build!AB641,0),"")</f>
        <v/>
      </c>
      <c r="AL29" s="508"/>
      <c r="AM29" s="508"/>
    </row>
    <row r="30" customFormat="false" ht="11.1" hidden="false" customHeight="true" outlineLevel="0" collapsed="false">
      <c r="A30" s="389"/>
      <c r="B30" s="389"/>
      <c r="C30" s="491" t="str">
        <f aca="true">IF(Build!AB642,OFFSET(Spells!L$2,Build!AB642,0),"")</f>
        <v/>
      </c>
      <c r="D30" s="491"/>
      <c r="E30" s="491"/>
      <c r="F30" s="491"/>
      <c r="G30" s="491"/>
      <c r="H30" s="491"/>
      <c r="I30" s="491"/>
      <c r="J30" s="491"/>
      <c r="K30" s="491"/>
      <c r="L30" s="492" t="str">
        <f aca="true">IF(Build!AB642,OFFSET(Spells!M$2,Build!AB642,0),"")</f>
        <v/>
      </c>
      <c r="M30" s="492"/>
      <c r="N30" s="492" t="str">
        <f aca="true">IF(Build!AB642,OFFSET(Spells!N$2,Build!AB642,0),"")</f>
        <v/>
      </c>
      <c r="O30" s="492"/>
      <c r="P30" s="492" t="str">
        <f aca="true">IF(Build!AB642,OFFSET(Spells!O$2,Build!AB642,0),"")</f>
        <v/>
      </c>
      <c r="Q30" s="492"/>
      <c r="R30" s="492" t="str">
        <f aca="true">IF(Build!AB642,OFFSET(Spells!P$2,Build!AB642,0),"")</f>
        <v/>
      </c>
      <c r="S30" s="492"/>
      <c r="T30" s="492" t="str">
        <f aca="true">IF(Build!AB642,OFFSET(Spells!Q$2,Build!AB642,0),"")</f>
        <v/>
      </c>
      <c r="U30" s="492"/>
      <c r="V30" s="492"/>
      <c r="W30" s="492" t="str">
        <f aca="true">IF(Build!AB642,OFFSET(Spells!S$2,Build!AB642,0),"")</f>
        <v/>
      </c>
      <c r="X30" s="492"/>
      <c r="Y30" s="492"/>
      <c r="Z30" s="507" t="str">
        <f aca="false">Build!AH642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IF(Build!AB642,OFFSET(Spells!T$2,Build!AB642,0),"")</f>
        <v/>
      </c>
      <c r="AL30" s="508"/>
      <c r="AM30" s="508"/>
    </row>
    <row r="31" customFormat="false" ht="11.1" hidden="false" customHeight="true" outlineLevel="0" collapsed="false">
      <c r="A31" s="389"/>
      <c r="B31" s="389"/>
      <c r="C31" s="491" t="str">
        <f aca="true">IF(Build!AB643,OFFSET(Spells!L$2,Build!AB643,0),"")</f>
        <v/>
      </c>
      <c r="D31" s="491"/>
      <c r="E31" s="491"/>
      <c r="F31" s="491"/>
      <c r="G31" s="491"/>
      <c r="H31" s="491"/>
      <c r="I31" s="491"/>
      <c r="J31" s="491"/>
      <c r="K31" s="491"/>
      <c r="L31" s="492" t="str">
        <f aca="true">IF(Build!AB643,OFFSET(Spells!M$2,Build!AB643,0),"")</f>
        <v/>
      </c>
      <c r="M31" s="492"/>
      <c r="N31" s="492" t="str">
        <f aca="true">IF(Build!AB643,OFFSET(Spells!N$2,Build!AB643,0),"")</f>
        <v/>
      </c>
      <c r="O31" s="492"/>
      <c r="P31" s="492" t="str">
        <f aca="true">IF(Build!AB643,OFFSET(Spells!O$2,Build!AB643,0),"")</f>
        <v/>
      </c>
      <c r="Q31" s="492"/>
      <c r="R31" s="492" t="str">
        <f aca="true">IF(Build!AB643,OFFSET(Spells!P$2,Build!AB643,0),"")</f>
        <v/>
      </c>
      <c r="S31" s="492"/>
      <c r="T31" s="492" t="str">
        <f aca="true">IF(Build!AB643,OFFSET(Spells!Q$2,Build!AB643,0),"")</f>
        <v/>
      </c>
      <c r="U31" s="492"/>
      <c r="V31" s="492"/>
      <c r="W31" s="492" t="str">
        <f aca="true">IF(Build!AB643,OFFSET(Spells!S$2,Build!AB643,0),"")</f>
        <v/>
      </c>
      <c r="X31" s="492"/>
      <c r="Y31" s="492"/>
      <c r="Z31" s="507" t="str">
        <f aca="false">Build!AH643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IF(Build!AB643,OFFSET(Spells!T$2,Build!AB643,0),"")</f>
        <v/>
      </c>
      <c r="AL31" s="508"/>
      <c r="AM31" s="508"/>
    </row>
    <row r="32" customFormat="false" ht="11.1" hidden="false" customHeight="true" outlineLevel="0" collapsed="false">
      <c r="A32" s="389"/>
      <c r="B32" s="389"/>
      <c r="C32" s="491" t="str">
        <f aca="true">IF(Build!AB644,OFFSET(Spells!L$2,Build!AB644,0),"")</f>
        <v/>
      </c>
      <c r="D32" s="491"/>
      <c r="E32" s="491"/>
      <c r="F32" s="491"/>
      <c r="G32" s="491"/>
      <c r="H32" s="491"/>
      <c r="I32" s="491"/>
      <c r="J32" s="491"/>
      <c r="K32" s="491"/>
      <c r="L32" s="492" t="str">
        <f aca="true">IF(Build!AB644,OFFSET(Spells!M$2,Build!AB644,0),"")</f>
        <v/>
      </c>
      <c r="M32" s="492"/>
      <c r="N32" s="492" t="str">
        <f aca="true">IF(Build!AB644,OFFSET(Spells!N$2,Build!AB644,0),"")</f>
        <v/>
      </c>
      <c r="O32" s="492"/>
      <c r="P32" s="492" t="str">
        <f aca="true">IF(Build!AB644,OFFSET(Spells!O$2,Build!AB644,0),"")</f>
        <v/>
      </c>
      <c r="Q32" s="492"/>
      <c r="R32" s="492" t="str">
        <f aca="true">IF(Build!AB644,OFFSET(Spells!P$2,Build!AB644,0),"")</f>
        <v/>
      </c>
      <c r="S32" s="492"/>
      <c r="T32" s="492" t="str">
        <f aca="true">IF(Build!AB644,OFFSET(Spells!Q$2,Build!AB644,0),"")</f>
        <v/>
      </c>
      <c r="U32" s="492"/>
      <c r="V32" s="492"/>
      <c r="W32" s="492" t="str">
        <f aca="true">IF(Build!AB644,OFFSET(Spells!S$2,Build!AB644,0),"")</f>
        <v/>
      </c>
      <c r="X32" s="492"/>
      <c r="Y32" s="492"/>
      <c r="Z32" s="507" t="str">
        <f aca="false">Build!AH644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IF(Build!AB644,OFFSET(Spells!T$2,Build!AB644,0),"")</f>
        <v/>
      </c>
      <c r="AL32" s="508"/>
      <c r="AM32" s="508"/>
    </row>
    <row r="33" customFormat="false" ht="11.1" hidden="false" customHeight="true" outlineLevel="0" collapsed="false">
      <c r="A33" s="389"/>
      <c r="B33" s="389"/>
      <c r="C33" s="491" t="str">
        <f aca="true">IF(Build!AB645,OFFSET(Spells!L$2,Build!AB645,0),"")</f>
        <v/>
      </c>
      <c r="D33" s="491"/>
      <c r="E33" s="491"/>
      <c r="F33" s="491"/>
      <c r="G33" s="491"/>
      <c r="H33" s="491"/>
      <c r="I33" s="491"/>
      <c r="J33" s="491"/>
      <c r="K33" s="491"/>
      <c r="L33" s="492" t="str">
        <f aca="true">IF(Build!AB645,OFFSET(Spells!M$2,Build!AB645,0),"")</f>
        <v/>
      </c>
      <c r="M33" s="492"/>
      <c r="N33" s="492" t="str">
        <f aca="true">IF(Build!AB645,OFFSET(Spells!N$2,Build!AB645,0),"")</f>
        <v/>
      </c>
      <c r="O33" s="492"/>
      <c r="P33" s="492" t="str">
        <f aca="true">IF(Build!AB645,OFFSET(Spells!O$2,Build!AB645,0),"")</f>
        <v/>
      </c>
      <c r="Q33" s="492"/>
      <c r="R33" s="492" t="str">
        <f aca="true">IF(Build!AB645,OFFSET(Spells!P$2,Build!AB645,0),"")</f>
        <v/>
      </c>
      <c r="S33" s="492"/>
      <c r="T33" s="492" t="str">
        <f aca="true">IF(Build!AB645,OFFSET(Spells!Q$2,Build!AB645,0),"")</f>
        <v/>
      </c>
      <c r="U33" s="492"/>
      <c r="V33" s="492"/>
      <c r="W33" s="492" t="str">
        <f aca="true">IF(Build!AB645,OFFSET(Spells!S$2,Build!AB645,0),"")</f>
        <v/>
      </c>
      <c r="X33" s="492"/>
      <c r="Y33" s="492"/>
      <c r="Z33" s="507" t="str">
        <f aca="false">Build!AH645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IF(Build!AB645,OFFSET(Spells!T$2,Build!AB645,0),"")</f>
        <v/>
      </c>
      <c r="AL33" s="508"/>
      <c r="AM33" s="508"/>
    </row>
    <row r="34" customFormat="false" ht="11.1" hidden="false" customHeight="true" outlineLevel="0" collapsed="false">
      <c r="A34" s="389"/>
      <c r="B34" s="389"/>
      <c r="C34" s="491" t="str">
        <f aca="true">IF(Build!AB646,OFFSET(Spells!L$2,Build!AB646,0),"")</f>
        <v/>
      </c>
      <c r="D34" s="491"/>
      <c r="E34" s="491"/>
      <c r="F34" s="491"/>
      <c r="G34" s="491"/>
      <c r="H34" s="491"/>
      <c r="I34" s="491"/>
      <c r="J34" s="491"/>
      <c r="K34" s="491"/>
      <c r="L34" s="492" t="str">
        <f aca="true">IF(Build!AB646,OFFSET(Spells!M$2,Build!AB646,0),"")</f>
        <v/>
      </c>
      <c r="M34" s="492"/>
      <c r="N34" s="492" t="str">
        <f aca="true">IF(Build!AB646,OFFSET(Spells!N$2,Build!AB646,0),"")</f>
        <v/>
      </c>
      <c r="O34" s="492"/>
      <c r="P34" s="492" t="str">
        <f aca="true">IF(Build!AB646,OFFSET(Spells!O$2,Build!AB646,0),"")</f>
        <v/>
      </c>
      <c r="Q34" s="492"/>
      <c r="R34" s="492" t="str">
        <f aca="true">IF(Build!AB646,OFFSET(Spells!P$2,Build!AB646,0),"")</f>
        <v/>
      </c>
      <c r="S34" s="492"/>
      <c r="T34" s="492" t="str">
        <f aca="true">IF(Build!AB646,OFFSET(Spells!Q$2,Build!AB646,0),"")</f>
        <v/>
      </c>
      <c r="U34" s="492"/>
      <c r="V34" s="492"/>
      <c r="W34" s="492" t="str">
        <f aca="true">IF(Build!AB646,OFFSET(Spells!S$2,Build!AB646,0),"")</f>
        <v/>
      </c>
      <c r="X34" s="492"/>
      <c r="Y34" s="492"/>
      <c r="Z34" s="507" t="str">
        <f aca="false">Build!AH646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IF(Build!AB646,OFFSET(Spells!T$2,Build!AB646,0),"")</f>
        <v/>
      </c>
      <c r="AL34" s="508"/>
      <c r="AM34" s="508"/>
    </row>
    <row r="35" customFormat="false" ht="11.1" hidden="false" customHeight="true" outlineLevel="0" collapsed="false">
      <c r="A35" s="389"/>
      <c r="B35" s="389"/>
      <c r="C35" s="491" t="str">
        <f aca="true">IF(Build!AB647,OFFSET(Spells!L$2,Build!AB647,0),"")</f>
        <v/>
      </c>
      <c r="D35" s="491"/>
      <c r="E35" s="491"/>
      <c r="F35" s="491"/>
      <c r="G35" s="491"/>
      <c r="H35" s="491"/>
      <c r="I35" s="491"/>
      <c r="J35" s="491"/>
      <c r="K35" s="491"/>
      <c r="L35" s="492" t="str">
        <f aca="true">IF(Build!AB647,OFFSET(Spells!M$2,Build!AB647,0),"")</f>
        <v/>
      </c>
      <c r="M35" s="492"/>
      <c r="N35" s="492" t="str">
        <f aca="true">IF(Build!AB647,OFFSET(Spells!N$2,Build!AB647,0),"")</f>
        <v/>
      </c>
      <c r="O35" s="492"/>
      <c r="P35" s="492" t="str">
        <f aca="true">IF(Build!AB647,OFFSET(Spells!O$2,Build!AB647,0),"")</f>
        <v/>
      </c>
      <c r="Q35" s="492"/>
      <c r="R35" s="492" t="str">
        <f aca="true">IF(Build!AB647,OFFSET(Spells!P$2,Build!AB647,0),"")</f>
        <v/>
      </c>
      <c r="S35" s="492"/>
      <c r="T35" s="492" t="str">
        <f aca="true">IF(Build!AB647,OFFSET(Spells!Q$2,Build!AB647,0),"")</f>
        <v/>
      </c>
      <c r="U35" s="492"/>
      <c r="V35" s="492"/>
      <c r="W35" s="492" t="str">
        <f aca="true">IF(Build!AB647,OFFSET(Spells!S$2,Build!AB647,0),"")</f>
        <v/>
      </c>
      <c r="X35" s="492"/>
      <c r="Y35" s="492"/>
      <c r="Z35" s="507" t="str">
        <f aca="false">Build!AH647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IF(Build!AB647,OFFSET(Spells!T$2,Build!AB647,0),"")</f>
        <v/>
      </c>
      <c r="AL35" s="508"/>
      <c r="AM35" s="508"/>
    </row>
    <row r="36" customFormat="false" ht="11.1" hidden="false" customHeight="true" outlineLevel="0" collapsed="false">
      <c r="A36" s="389"/>
      <c r="B36" s="389"/>
      <c r="C36" s="491" t="str">
        <f aca="true">IF(Build!AB648,OFFSET(Spells!L$2,Build!AB648,0),"")</f>
        <v/>
      </c>
      <c r="D36" s="491"/>
      <c r="E36" s="491"/>
      <c r="F36" s="491"/>
      <c r="G36" s="491"/>
      <c r="H36" s="491"/>
      <c r="I36" s="491"/>
      <c r="J36" s="491"/>
      <c r="K36" s="491"/>
      <c r="L36" s="492" t="str">
        <f aca="true">IF(Build!AB648,OFFSET(Spells!M$2,Build!AB648,0),"")</f>
        <v/>
      </c>
      <c r="M36" s="492"/>
      <c r="N36" s="492" t="str">
        <f aca="true">IF(Build!AB648,OFFSET(Spells!N$2,Build!AB648,0),"")</f>
        <v/>
      </c>
      <c r="O36" s="492"/>
      <c r="P36" s="492" t="str">
        <f aca="true">IF(Build!AB648,OFFSET(Spells!O$2,Build!AB648,0),"")</f>
        <v/>
      </c>
      <c r="Q36" s="492"/>
      <c r="R36" s="492" t="str">
        <f aca="true">IF(Build!AB648,OFFSET(Spells!P$2,Build!AB648,0),"")</f>
        <v/>
      </c>
      <c r="S36" s="492"/>
      <c r="T36" s="492" t="str">
        <f aca="true">IF(Build!AB648,OFFSET(Spells!Q$2,Build!AB648,0),"")</f>
        <v/>
      </c>
      <c r="U36" s="492"/>
      <c r="V36" s="492"/>
      <c r="W36" s="492" t="str">
        <f aca="true">IF(Build!AB648,OFFSET(Spells!S$2,Build!AB648,0),"")</f>
        <v/>
      </c>
      <c r="X36" s="492"/>
      <c r="Y36" s="492"/>
      <c r="Z36" s="507" t="str">
        <f aca="false">Build!AH648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IF(Build!AB648,OFFSET(Spells!T$2,Build!AB648,0),"")</f>
        <v/>
      </c>
      <c r="AL36" s="508"/>
      <c r="AM36" s="508"/>
    </row>
    <row r="37" customFormat="false" ht="11.1" hidden="false" customHeight="true" outlineLevel="0" collapsed="false">
      <c r="A37" s="389"/>
      <c r="B37" s="389"/>
      <c r="C37" s="491" t="str">
        <f aca="true">IF(Build!AB649,OFFSET(Spells!L$2,Build!AB649,0),"")</f>
        <v/>
      </c>
      <c r="D37" s="491"/>
      <c r="E37" s="491"/>
      <c r="F37" s="491"/>
      <c r="G37" s="491"/>
      <c r="H37" s="491"/>
      <c r="I37" s="491"/>
      <c r="J37" s="491"/>
      <c r="K37" s="491"/>
      <c r="L37" s="492" t="str">
        <f aca="true">IF(Build!AB649,OFFSET(Spells!M$2,Build!AB649,0),"")</f>
        <v/>
      </c>
      <c r="M37" s="492"/>
      <c r="N37" s="492" t="str">
        <f aca="true">IF(Build!AB649,OFFSET(Spells!N$2,Build!AB649,0),"")</f>
        <v/>
      </c>
      <c r="O37" s="492"/>
      <c r="P37" s="492" t="str">
        <f aca="true">IF(Build!AB649,OFFSET(Spells!O$2,Build!AB649,0),"")</f>
        <v/>
      </c>
      <c r="Q37" s="492"/>
      <c r="R37" s="492" t="str">
        <f aca="true">IF(Build!AB649,OFFSET(Spells!P$2,Build!AB649,0),"")</f>
        <v/>
      </c>
      <c r="S37" s="492"/>
      <c r="T37" s="492" t="str">
        <f aca="true">IF(Build!AB649,OFFSET(Spells!Q$2,Build!AB649,0),"")</f>
        <v/>
      </c>
      <c r="U37" s="492"/>
      <c r="V37" s="492"/>
      <c r="W37" s="492" t="str">
        <f aca="true">IF(Build!AB649,OFFSET(Spells!S$2,Build!AB649,0),"")</f>
        <v/>
      </c>
      <c r="X37" s="492"/>
      <c r="Y37" s="492"/>
      <c r="Z37" s="507" t="str">
        <f aca="false">Build!AH649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IF(Build!AB649,OFFSET(Spells!T$2,Build!AB649,0),"")</f>
        <v/>
      </c>
      <c r="AL37" s="508"/>
      <c r="AM37" s="508"/>
    </row>
    <row r="38" customFormat="false" ht="11.1" hidden="false" customHeight="true" outlineLevel="0" collapsed="false">
      <c r="A38" s="389"/>
      <c r="B38" s="389"/>
      <c r="C38" s="491" t="str">
        <f aca="true">IF(Build!AB650,OFFSET(Spells!L$2,Build!AB650,0),"")</f>
        <v/>
      </c>
      <c r="D38" s="491"/>
      <c r="E38" s="491"/>
      <c r="F38" s="491"/>
      <c r="G38" s="491"/>
      <c r="H38" s="491"/>
      <c r="I38" s="491"/>
      <c r="J38" s="491"/>
      <c r="K38" s="491"/>
      <c r="L38" s="492" t="str">
        <f aca="true">IF(Build!AB650,OFFSET(Spells!M$2,Build!AB650,0),"")</f>
        <v/>
      </c>
      <c r="M38" s="492"/>
      <c r="N38" s="492" t="str">
        <f aca="true">IF(Build!AB650,OFFSET(Spells!N$2,Build!AB650,0),"")</f>
        <v/>
      </c>
      <c r="O38" s="492"/>
      <c r="P38" s="492" t="str">
        <f aca="true">IF(Build!AB650,OFFSET(Spells!O$2,Build!AB650,0),"")</f>
        <v/>
      </c>
      <c r="Q38" s="492"/>
      <c r="R38" s="492" t="str">
        <f aca="true">IF(Build!AB650,OFFSET(Spells!P$2,Build!AB650,0),"")</f>
        <v/>
      </c>
      <c r="S38" s="492"/>
      <c r="T38" s="492" t="str">
        <f aca="true">IF(Build!AB650,OFFSET(Spells!Q$2,Build!AB650,0),"")</f>
        <v/>
      </c>
      <c r="U38" s="492"/>
      <c r="V38" s="492"/>
      <c r="W38" s="492" t="str">
        <f aca="true">IF(Build!AB650,OFFSET(Spells!S$2,Build!AB650,0),"")</f>
        <v/>
      </c>
      <c r="X38" s="492"/>
      <c r="Y38" s="492"/>
      <c r="Z38" s="507" t="str">
        <f aca="false">Build!AH650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IF(Build!AB650,OFFSET(Spells!T$2,Build!AB650,0),"")</f>
        <v/>
      </c>
      <c r="AL38" s="508"/>
      <c r="AM38" s="508"/>
    </row>
    <row r="39" customFormat="false" ht="11.1" hidden="false" customHeight="true" outlineLevel="0" collapsed="false">
      <c r="A39" s="389"/>
      <c r="B39" s="389"/>
      <c r="C39" s="491" t="str">
        <f aca="true">IF(Build!AB651,OFFSET(Spells!L$2,Build!AB651,0),"")</f>
        <v/>
      </c>
      <c r="D39" s="491"/>
      <c r="E39" s="491"/>
      <c r="F39" s="491"/>
      <c r="G39" s="491"/>
      <c r="H39" s="491"/>
      <c r="I39" s="491"/>
      <c r="J39" s="491"/>
      <c r="K39" s="491"/>
      <c r="L39" s="492" t="str">
        <f aca="true">IF(Build!AB651,OFFSET(Spells!M$2,Build!AB651,0),"")</f>
        <v/>
      </c>
      <c r="M39" s="492"/>
      <c r="N39" s="492" t="str">
        <f aca="true">IF(Build!AB651,OFFSET(Spells!N$2,Build!AB651,0),"")</f>
        <v/>
      </c>
      <c r="O39" s="492"/>
      <c r="P39" s="492" t="str">
        <f aca="true">IF(Build!AB651,OFFSET(Spells!O$2,Build!AB651,0),"")</f>
        <v/>
      </c>
      <c r="Q39" s="492"/>
      <c r="R39" s="492" t="str">
        <f aca="true">IF(Build!AB651,OFFSET(Spells!P$2,Build!AB651,0),"")</f>
        <v/>
      </c>
      <c r="S39" s="492"/>
      <c r="T39" s="492" t="str">
        <f aca="true">IF(Build!AB651,OFFSET(Spells!Q$2,Build!AB651,0),"")</f>
        <v/>
      </c>
      <c r="U39" s="492"/>
      <c r="V39" s="492"/>
      <c r="W39" s="492" t="str">
        <f aca="true">IF(Build!AB651,OFFSET(Spells!S$2,Build!AB651,0),"")</f>
        <v/>
      </c>
      <c r="X39" s="492"/>
      <c r="Y39" s="492"/>
      <c r="Z39" s="507" t="str">
        <f aca="false">Build!AH651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IF(Build!AB651,OFFSET(Spells!T$2,Build!AB651,0),"")</f>
        <v/>
      </c>
      <c r="AL39" s="508"/>
      <c r="AM39" s="508"/>
    </row>
    <row r="40" customFormat="false" ht="11.1" hidden="false" customHeight="true" outlineLevel="0" collapsed="false">
      <c r="A40" s="389"/>
      <c r="B40" s="389"/>
      <c r="C40" s="491" t="str">
        <f aca="true">IF(Build!AB652,OFFSET(Spells!L$2,Build!AB652,0),"")</f>
        <v/>
      </c>
      <c r="D40" s="491"/>
      <c r="E40" s="491"/>
      <c r="F40" s="491"/>
      <c r="G40" s="491"/>
      <c r="H40" s="491"/>
      <c r="I40" s="491"/>
      <c r="J40" s="491"/>
      <c r="K40" s="491"/>
      <c r="L40" s="492" t="str">
        <f aca="true">IF(Build!AB652,OFFSET(Spells!M$2,Build!AB652,0),"")</f>
        <v/>
      </c>
      <c r="M40" s="492"/>
      <c r="N40" s="492" t="str">
        <f aca="true">IF(Build!AB652,OFFSET(Spells!N$2,Build!AB652,0),"")</f>
        <v/>
      </c>
      <c r="O40" s="492"/>
      <c r="P40" s="492" t="str">
        <f aca="true">IF(Build!AB652,OFFSET(Spells!O$2,Build!AB652,0),"")</f>
        <v/>
      </c>
      <c r="Q40" s="492"/>
      <c r="R40" s="492" t="str">
        <f aca="true">IF(Build!AB652,OFFSET(Spells!P$2,Build!AB652,0),"")</f>
        <v/>
      </c>
      <c r="S40" s="492"/>
      <c r="T40" s="492" t="str">
        <f aca="true">IF(Build!AB652,OFFSET(Spells!Q$2,Build!AB652,0),"")</f>
        <v/>
      </c>
      <c r="U40" s="492"/>
      <c r="V40" s="492"/>
      <c r="W40" s="492" t="str">
        <f aca="true">IF(Build!AB652,OFFSET(Spells!S$2,Build!AB652,0),"")</f>
        <v/>
      </c>
      <c r="X40" s="492"/>
      <c r="Y40" s="492"/>
      <c r="Z40" s="507" t="str">
        <f aca="false">Build!AH652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IF(Build!AB652,OFFSET(Spells!T$2,Build!AB652,0),"")</f>
        <v/>
      </c>
      <c r="AL40" s="508"/>
      <c r="AM40" s="508"/>
    </row>
    <row r="41" customFormat="false" ht="11.1" hidden="false" customHeight="true" outlineLevel="0" collapsed="false">
      <c r="A41" s="389"/>
      <c r="B41" s="389"/>
      <c r="C41" s="491" t="str">
        <f aca="true">IF(Build!AB653,OFFSET(Spells!L$2,Build!AB653,0),"")</f>
        <v/>
      </c>
      <c r="D41" s="491"/>
      <c r="E41" s="491"/>
      <c r="F41" s="491"/>
      <c r="G41" s="491"/>
      <c r="H41" s="491"/>
      <c r="I41" s="491"/>
      <c r="J41" s="491"/>
      <c r="K41" s="491"/>
      <c r="L41" s="492" t="str">
        <f aca="true">IF(Build!AB653,OFFSET(Spells!M$2,Build!AB653,0),"")</f>
        <v/>
      </c>
      <c r="M41" s="492"/>
      <c r="N41" s="492" t="str">
        <f aca="true">IF(Build!AB653,OFFSET(Spells!N$2,Build!AB653,0),"")</f>
        <v/>
      </c>
      <c r="O41" s="492"/>
      <c r="P41" s="492" t="str">
        <f aca="true">IF(Build!AB653,OFFSET(Spells!O$2,Build!AB653,0),"")</f>
        <v/>
      </c>
      <c r="Q41" s="492"/>
      <c r="R41" s="492" t="str">
        <f aca="true">IF(Build!AB653,OFFSET(Spells!P$2,Build!AB653,0),"")</f>
        <v/>
      </c>
      <c r="S41" s="492"/>
      <c r="T41" s="492" t="str">
        <f aca="true">IF(Build!AB653,OFFSET(Spells!Q$2,Build!AB653,0),"")</f>
        <v/>
      </c>
      <c r="U41" s="492"/>
      <c r="V41" s="492"/>
      <c r="W41" s="492" t="str">
        <f aca="true">IF(Build!AB653,OFFSET(Spells!S$2,Build!AB653,0),"")</f>
        <v/>
      </c>
      <c r="X41" s="492"/>
      <c r="Y41" s="492"/>
      <c r="Z41" s="507" t="str">
        <f aca="false">Build!AH653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IF(Build!AB653,OFFSET(Spells!T$2,Build!AB653,0),"")</f>
        <v/>
      </c>
      <c r="AL41" s="508"/>
      <c r="AM41" s="508"/>
    </row>
    <row r="42" customFormat="false" ht="11.1" hidden="false" customHeight="true" outlineLevel="0" collapsed="false">
      <c r="A42" s="389"/>
      <c r="B42" s="389"/>
      <c r="C42" s="491" t="str">
        <f aca="true">IF(Build!AB654,OFFSET(Spells!L$2,Build!AB654,0),"")</f>
        <v/>
      </c>
      <c r="D42" s="491"/>
      <c r="E42" s="491"/>
      <c r="F42" s="491"/>
      <c r="G42" s="491"/>
      <c r="H42" s="491"/>
      <c r="I42" s="491"/>
      <c r="J42" s="491"/>
      <c r="K42" s="491"/>
      <c r="L42" s="492" t="str">
        <f aca="true">IF(Build!AB654,OFFSET(Spells!M$2,Build!AB654,0),"")</f>
        <v/>
      </c>
      <c r="M42" s="492"/>
      <c r="N42" s="492" t="str">
        <f aca="true">IF(Build!AB654,OFFSET(Spells!N$2,Build!AB654,0),"")</f>
        <v/>
      </c>
      <c r="O42" s="492"/>
      <c r="P42" s="492" t="str">
        <f aca="true">IF(Build!AB654,OFFSET(Spells!O$2,Build!AB654,0),"")</f>
        <v/>
      </c>
      <c r="Q42" s="492"/>
      <c r="R42" s="492" t="str">
        <f aca="true">IF(Build!AB654,OFFSET(Spells!P$2,Build!AB654,0),"")</f>
        <v/>
      </c>
      <c r="S42" s="492"/>
      <c r="T42" s="492" t="str">
        <f aca="true">IF(Build!AB654,OFFSET(Spells!Q$2,Build!AB654,0),"")</f>
        <v/>
      </c>
      <c r="U42" s="492"/>
      <c r="V42" s="492"/>
      <c r="W42" s="492" t="str">
        <f aca="true">IF(Build!AB654,OFFSET(Spells!S$2,Build!AB654,0),"")</f>
        <v/>
      </c>
      <c r="X42" s="492"/>
      <c r="Y42" s="492"/>
      <c r="Z42" s="507" t="str">
        <f aca="false">Build!AH654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IF(Build!AB654,OFFSET(Spells!T$2,Build!AB654,0),"")</f>
        <v/>
      </c>
      <c r="AL42" s="508"/>
      <c r="AM42" s="508"/>
    </row>
    <row r="43" customFormat="false" ht="11.1" hidden="false" customHeight="true" outlineLevel="0" collapsed="false">
      <c r="A43" s="389"/>
      <c r="B43" s="389"/>
      <c r="C43" s="491" t="str">
        <f aca="true">IF(Build!AB655,OFFSET(Spells!L$2,Build!AB655,0),"")</f>
        <v/>
      </c>
      <c r="D43" s="491"/>
      <c r="E43" s="491"/>
      <c r="F43" s="491"/>
      <c r="G43" s="491"/>
      <c r="H43" s="491"/>
      <c r="I43" s="491"/>
      <c r="J43" s="491"/>
      <c r="K43" s="491"/>
      <c r="L43" s="492" t="str">
        <f aca="true">IF(Build!AB655,OFFSET(Spells!M$2,Build!AB655,0),"")</f>
        <v/>
      </c>
      <c r="M43" s="492"/>
      <c r="N43" s="492" t="str">
        <f aca="true">IF(Build!AB655,OFFSET(Spells!N$2,Build!AB655,0),"")</f>
        <v/>
      </c>
      <c r="O43" s="492"/>
      <c r="P43" s="492" t="str">
        <f aca="true">IF(Build!AB655,OFFSET(Spells!O$2,Build!AB655,0),"")</f>
        <v/>
      </c>
      <c r="Q43" s="492"/>
      <c r="R43" s="492" t="str">
        <f aca="true">IF(Build!AB655,OFFSET(Spells!P$2,Build!AB655,0),"")</f>
        <v/>
      </c>
      <c r="S43" s="492"/>
      <c r="T43" s="492" t="str">
        <f aca="true">IF(Build!AB655,OFFSET(Spells!Q$2,Build!AB655,0),"")</f>
        <v/>
      </c>
      <c r="U43" s="492"/>
      <c r="V43" s="492"/>
      <c r="W43" s="492" t="str">
        <f aca="true">IF(Build!AB655,OFFSET(Spells!S$2,Build!AB655,0),"")</f>
        <v/>
      </c>
      <c r="X43" s="492"/>
      <c r="Y43" s="492"/>
      <c r="Z43" s="507" t="str">
        <f aca="false">Build!AH655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IF(Build!AB655,OFFSET(Spells!T$2,Build!AB655,0),"")</f>
        <v/>
      </c>
      <c r="AL43" s="508"/>
      <c r="AM43" s="508"/>
    </row>
    <row r="44" customFormat="false" ht="11.1" hidden="false" customHeight="true" outlineLevel="0" collapsed="false">
      <c r="A44" s="389"/>
      <c r="B44" s="389"/>
      <c r="C44" s="491" t="str">
        <f aca="true">IF(Build!AB656,OFFSET(Spells!L$2,Build!AB656,0),"")</f>
        <v/>
      </c>
      <c r="D44" s="491"/>
      <c r="E44" s="491"/>
      <c r="F44" s="491"/>
      <c r="G44" s="491"/>
      <c r="H44" s="491"/>
      <c r="I44" s="491"/>
      <c r="J44" s="491"/>
      <c r="K44" s="491"/>
      <c r="L44" s="492" t="str">
        <f aca="true">IF(Build!AB656,OFFSET(Spells!M$2,Build!AB656,0),"")</f>
        <v/>
      </c>
      <c r="M44" s="492"/>
      <c r="N44" s="492" t="str">
        <f aca="true">IF(Build!AB656,OFFSET(Spells!N$2,Build!AB656,0),"")</f>
        <v/>
      </c>
      <c r="O44" s="492"/>
      <c r="P44" s="492" t="str">
        <f aca="true">IF(Build!AB656,OFFSET(Spells!O$2,Build!AB656,0),"")</f>
        <v/>
      </c>
      <c r="Q44" s="492"/>
      <c r="R44" s="492" t="str">
        <f aca="true">IF(Build!AB656,OFFSET(Spells!P$2,Build!AB656,0),"")</f>
        <v/>
      </c>
      <c r="S44" s="492"/>
      <c r="T44" s="492" t="str">
        <f aca="true">IF(Build!AB656,OFFSET(Spells!Q$2,Build!AB656,0),"")</f>
        <v/>
      </c>
      <c r="U44" s="492"/>
      <c r="V44" s="492"/>
      <c r="W44" s="492" t="str">
        <f aca="true">IF(Build!AB656,OFFSET(Spells!S$2,Build!AB656,0),"")</f>
        <v/>
      </c>
      <c r="X44" s="492"/>
      <c r="Y44" s="492"/>
      <c r="Z44" s="507" t="str">
        <f aca="false">Build!AH656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IF(Build!AB656,OFFSET(Spells!T$2,Build!AB656,0),"")</f>
        <v/>
      </c>
      <c r="AL44" s="508"/>
      <c r="AM44" s="508"/>
    </row>
    <row r="45" customFormat="false" ht="11.1" hidden="false" customHeight="true" outlineLevel="0" collapsed="false">
      <c r="A45" s="389"/>
      <c r="B45" s="389"/>
      <c r="C45" s="491" t="str">
        <f aca="true">IF(Build!AB657,OFFSET(Spells!L$2,Build!AB657,0),"")</f>
        <v/>
      </c>
      <c r="D45" s="491"/>
      <c r="E45" s="491"/>
      <c r="F45" s="491"/>
      <c r="G45" s="491"/>
      <c r="H45" s="491"/>
      <c r="I45" s="491"/>
      <c r="J45" s="491"/>
      <c r="K45" s="491"/>
      <c r="L45" s="492" t="str">
        <f aca="true">IF(Build!AB657,OFFSET(Spells!M$2,Build!AB657,0),"")</f>
        <v/>
      </c>
      <c r="M45" s="492"/>
      <c r="N45" s="492" t="str">
        <f aca="true">IF(Build!AB657,OFFSET(Spells!N$2,Build!AB657,0),"")</f>
        <v/>
      </c>
      <c r="O45" s="492"/>
      <c r="P45" s="492" t="str">
        <f aca="true">IF(Build!AB657,OFFSET(Spells!O$2,Build!AB657,0),"")</f>
        <v/>
      </c>
      <c r="Q45" s="492"/>
      <c r="R45" s="492" t="str">
        <f aca="true">IF(Build!AB657,OFFSET(Spells!P$2,Build!AB657,0),"")</f>
        <v/>
      </c>
      <c r="S45" s="492"/>
      <c r="T45" s="492" t="str">
        <f aca="true">IF(Build!AB657,OFFSET(Spells!Q$2,Build!AB657,0),"")</f>
        <v/>
      </c>
      <c r="U45" s="492"/>
      <c r="V45" s="492"/>
      <c r="W45" s="492" t="str">
        <f aca="true">IF(Build!AB657,OFFSET(Spells!S$2,Build!AB657,0),"")</f>
        <v/>
      </c>
      <c r="X45" s="492"/>
      <c r="Y45" s="492"/>
      <c r="Z45" s="507" t="str">
        <f aca="false">Build!AH657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IF(Build!AB657,OFFSET(Spells!T$2,Build!AB657,0),"")</f>
        <v/>
      </c>
      <c r="AL45" s="508"/>
      <c r="AM45" s="508"/>
    </row>
    <row r="46" customFormat="false" ht="11.1" hidden="false" customHeight="true" outlineLevel="0" collapsed="false">
      <c r="A46" s="389"/>
      <c r="B46" s="389"/>
      <c r="C46" s="491" t="str">
        <f aca="true">IF(Build!AB658,OFFSET(Spells!L$2,Build!AB658,0),"")</f>
        <v/>
      </c>
      <c r="D46" s="491"/>
      <c r="E46" s="491"/>
      <c r="F46" s="491"/>
      <c r="G46" s="491"/>
      <c r="H46" s="491"/>
      <c r="I46" s="491"/>
      <c r="J46" s="491"/>
      <c r="K46" s="491"/>
      <c r="L46" s="492" t="str">
        <f aca="true">IF(Build!AB658,OFFSET(Spells!M$2,Build!AB658,0),"")</f>
        <v/>
      </c>
      <c r="M46" s="492"/>
      <c r="N46" s="492" t="str">
        <f aca="true">IF(Build!AB658,OFFSET(Spells!N$2,Build!AB658,0),"")</f>
        <v/>
      </c>
      <c r="O46" s="492"/>
      <c r="P46" s="492" t="str">
        <f aca="true">IF(Build!AB658,OFFSET(Spells!O$2,Build!AB658,0),"")</f>
        <v/>
      </c>
      <c r="Q46" s="492"/>
      <c r="R46" s="492" t="str">
        <f aca="true">IF(Build!AB658,OFFSET(Spells!P$2,Build!AB658,0),"")</f>
        <v/>
      </c>
      <c r="S46" s="492"/>
      <c r="T46" s="492" t="str">
        <f aca="true">IF(Build!AB658,OFFSET(Spells!Q$2,Build!AB658,0),"")</f>
        <v/>
      </c>
      <c r="U46" s="492"/>
      <c r="V46" s="492"/>
      <c r="W46" s="492" t="str">
        <f aca="true">IF(Build!AB658,OFFSET(Spells!S$2,Build!AB658,0),"")</f>
        <v/>
      </c>
      <c r="X46" s="492"/>
      <c r="Y46" s="492"/>
      <c r="Z46" s="507" t="str">
        <f aca="false">Build!AH658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IF(Build!AB658,OFFSET(Spells!T$2,Build!AB658,0),"")</f>
        <v/>
      </c>
      <c r="AL46" s="508"/>
      <c r="AM46" s="508"/>
    </row>
    <row r="47" customFormat="false" ht="11.1" hidden="false" customHeight="true" outlineLevel="0" collapsed="false">
      <c r="A47" s="389"/>
      <c r="B47" s="389"/>
      <c r="C47" s="491" t="str">
        <f aca="true">IF(Build!AB659,OFFSET(Spells!L$2,Build!AB659,0),"")</f>
        <v/>
      </c>
      <c r="D47" s="491"/>
      <c r="E47" s="491"/>
      <c r="F47" s="491"/>
      <c r="G47" s="491"/>
      <c r="H47" s="491"/>
      <c r="I47" s="491"/>
      <c r="J47" s="491"/>
      <c r="K47" s="491"/>
      <c r="L47" s="492" t="str">
        <f aca="true">IF(Build!AB659,OFFSET(Spells!M$2,Build!AB659,0),"")</f>
        <v/>
      </c>
      <c r="M47" s="492"/>
      <c r="N47" s="492" t="str">
        <f aca="true">IF(Build!AB659,OFFSET(Spells!N$2,Build!AB659,0),"")</f>
        <v/>
      </c>
      <c r="O47" s="492"/>
      <c r="P47" s="492" t="str">
        <f aca="true">IF(Build!AB659,OFFSET(Spells!O$2,Build!AB659,0),"")</f>
        <v/>
      </c>
      <c r="Q47" s="492"/>
      <c r="R47" s="492" t="str">
        <f aca="true">IF(Build!AB659,OFFSET(Spells!P$2,Build!AB659,0),"")</f>
        <v/>
      </c>
      <c r="S47" s="492"/>
      <c r="T47" s="492" t="str">
        <f aca="true">IF(Build!AB659,OFFSET(Spells!Q$2,Build!AB659,0),"")</f>
        <v/>
      </c>
      <c r="U47" s="492"/>
      <c r="V47" s="492"/>
      <c r="W47" s="492" t="str">
        <f aca="true">IF(Build!AB659,OFFSET(Spells!S$2,Build!AB659,0),"")</f>
        <v/>
      </c>
      <c r="X47" s="492"/>
      <c r="Y47" s="492"/>
      <c r="Z47" s="507" t="str">
        <f aca="false">Build!AH659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IF(Build!AB659,OFFSET(Spells!T$2,Build!AB659,0),"")</f>
        <v/>
      </c>
      <c r="AL47" s="508"/>
      <c r="AM47" s="508"/>
    </row>
    <row r="48" customFormat="false" ht="11.1" hidden="false" customHeight="true" outlineLevel="0" collapsed="false">
      <c r="A48" s="389"/>
      <c r="B48" s="389"/>
      <c r="C48" s="491" t="str">
        <f aca="true">IF(Build!AB660,OFFSET(Spells!L$2,Build!AB660,0),"")</f>
        <v/>
      </c>
      <c r="D48" s="491"/>
      <c r="E48" s="491"/>
      <c r="F48" s="491"/>
      <c r="G48" s="491"/>
      <c r="H48" s="491"/>
      <c r="I48" s="491"/>
      <c r="J48" s="491"/>
      <c r="K48" s="491"/>
      <c r="L48" s="492" t="str">
        <f aca="true">IF(Build!AB660,OFFSET(Spells!M$2,Build!AB660,0),"")</f>
        <v/>
      </c>
      <c r="M48" s="492"/>
      <c r="N48" s="492" t="str">
        <f aca="true">IF(Build!AB660,OFFSET(Spells!N$2,Build!AB660,0),"")</f>
        <v/>
      </c>
      <c r="O48" s="492"/>
      <c r="P48" s="492" t="str">
        <f aca="true">IF(Build!AB660,OFFSET(Spells!O$2,Build!AB660,0),"")</f>
        <v/>
      </c>
      <c r="Q48" s="492"/>
      <c r="R48" s="492" t="str">
        <f aca="true">IF(Build!AB660,OFFSET(Spells!P$2,Build!AB660,0),"")</f>
        <v/>
      </c>
      <c r="S48" s="492"/>
      <c r="T48" s="492" t="str">
        <f aca="true">IF(Build!AB660,OFFSET(Spells!Q$2,Build!AB660,0),"")</f>
        <v/>
      </c>
      <c r="U48" s="492"/>
      <c r="V48" s="492"/>
      <c r="W48" s="492" t="str">
        <f aca="true">IF(Build!AB660,OFFSET(Spells!S$2,Build!AB660,0),"")</f>
        <v/>
      </c>
      <c r="X48" s="492"/>
      <c r="Y48" s="492"/>
      <c r="Z48" s="507" t="str">
        <f aca="false">Build!AH660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IF(Build!AB660,OFFSET(Spells!T$2,Build!AB660,0),"")</f>
        <v/>
      </c>
      <c r="AL48" s="508"/>
      <c r="AM48" s="508"/>
    </row>
    <row r="49" customFormat="false" ht="11.1" hidden="false" customHeight="true" outlineLevel="0" collapsed="false">
      <c r="A49" s="389"/>
      <c r="B49" s="389"/>
      <c r="C49" s="491" t="str">
        <f aca="true">IF(Build!AB661,OFFSET(Spells!L$2,Build!AB661,0),"")</f>
        <v/>
      </c>
      <c r="D49" s="491"/>
      <c r="E49" s="491"/>
      <c r="F49" s="491"/>
      <c r="G49" s="491"/>
      <c r="H49" s="491"/>
      <c r="I49" s="491"/>
      <c r="J49" s="491"/>
      <c r="K49" s="491"/>
      <c r="L49" s="492" t="str">
        <f aca="true">IF(Build!AB661,OFFSET(Spells!M$2,Build!AB661,0),"")</f>
        <v/>
      </c>
      <c r="M49" s="492"/>
      <c r="N49" s="492" t="str">
        <f aca="true">IF(Build!AB661,OFFSET(Spells!N$2,Build!AB661,0),"")</f>
        <v/>
      </c>
      <c r="O49" s="492"/>
      <c r="P49" s="492" t="str">
        <f aca="true">IF(Build!AB661,OFFSET(Spells!O$2,Build!AB661,0),"")</f>
        <v/>
      </c>
      <c r="Q49" s="492"/>
      <c r="R49" s="492" t="str">
        <f aca="true">IF(Build!AB661,OFFSET(Spells!P$2,Build!AB661,0),"")</f>
        <v/>
      </c>
      <c r="S49" s="492"/>
      <c r="T49" s="492" t="str">
        <f aca="true">IF(Build!AB661,OFFSET(Spells!Q$2,Build!AB661,0),"")</f>
        <v/>
      </c>
      <c r="U49" s="492"/>
      <c r="V49" s="492"/>
      <c r="W49" s="492" t="str">
        <f aca="true">IF(Build!AB661,OFFSET(Spells!S$2,Build!AB661,0),"")</f>
        <v/>
      </c>
      <c r="X49" s="492"/>
      <c r="Y49" s="492"/>
      <c r="Z49" s="507" t="str">
        <f aca="false">Build!AH661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IF(Build!AB661,OFFSET(Spells!T$2,Build!AB661,0),"")</f>
        <v/>
      </c>
      <c r="AL49" s="508"/>
      <c r="AM49" s="508"/>
    </row>
    <row r="50" customFormat="false" ht="11.1" hidden="false" customHeight="true" outlineLevel="0" collapsed="false">
      <c r="A50" s="389"/>
      <c r="B50" s="389"/>
      <c r="C50" s="491" t="str">
        <f aca="true">IF(Build!AB662,OFFSET(Spells!L$2,Build!AB662,0),"")</f>
        <v/>
      </c>
      <c r="D50" s="491"/>
      <c r="E50" s="491"/>
      <c r="F50" s="491"/>
      <c r="G50" s="491"/>
      <c r="H50" s="491"/>
      <c r="I50" s="491"/>
      <c r="J50" s="491"/>
      <c r="K50" s="491"/>
      <c r="L50" s="492" t="str">
        <f aca="true">IF(Build!AB662,OFFSET(Spells!M$2,Build!AB662,0),"")</f>
        <v/>
      </c>
      <c r="M50" s="492"/>
      <c r="N50" s="492" t="str">
        <f aca="true">IF(Build!AB662,OFFSET(Spells!N$2,Build!AB662,0),"")</f>
        <v/>
      </c>
      <c r="O50" s="492"/>
      <c r="P50" s="492" t="str">
        <f aca="true">IF(Build!AB662,OFFSET(Spells!O$2,Build!AB662,0),"")</f>
        <v/>
      </c>
      <c r="Q50" s="492"/>
      <c r="R50" s="492" t="str">
        <f aca="true">IF(Build!AB662,OFFSET(Spells!P$2,Build!AB662,0),"")</f>
        <v/>
      </c>
      <c r="S50" s="492"/>
      <c r="T50" s="492" t="str">
        <f aca="true">IF(Build!AB662,OFFSET(Spells!Q$2,Build!AB662,0),"")</f>
        <v/>
      </c>
      <c r="U50" s="492"/>
      <c r="V50" s="492"/>
      <c r="W50" s="492" t="str">
        <f aca="true">IF(Build!AB662,OFFSET(Spells!S$2,Build!AB662,0),"")</f>
        <v/>
      </c>
      <c r="X50" s="492"/>
      <c r="Y50" s="492"/>
      <c r="Z50" s="507" t="str">
        <f aca="false">Build!AH662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IF(Build!AB662,OFFSET(Spells!T$2,Build!AB662,0),"")</f>
        <v/>
      </c>
      <c r="AL50" s="508"/>
      <c r="AM50" s="508"/>
    </row>
    <row r="51" customFormat="false" ht="11.1" hidden="false" customHeight="true" outlineLevel="0" collapsed="false">
      <c r="A51" s="389"/>
      <c r="B51" s="389"/>
      <c r="C51" s="491" t="str">
        <f aca="true">IF(Build!AB663,OFFSET(Spells!L$2,Build!AB663,0),"")</f>
        <v/>
      </c>
      <c r="D51" s="491"/>
      <c r="E51" s="491"/>
      <c r="F51" s="491"/>
      <c r="G51" s="491"/>
      <c r="H51" s="491"/>
      <c r="I51" s="491"/>
      <c r="J51" s="491"/>
      <c r="K51" s="491"/>
      <c r="L51" s="492" t="str">
        <f aca="true">IF(Build!AB663,OFFSET(Spells!M$2,Build!AB663,0),"")</f>
        <v/>
      </c>
      <c r="M51" s="492"/>
      <c r="N51" s="492" t="str">
        <f aca="true">IF(Build!AB663,OFFSET(Spells!N$2,Build!AB663,0),"")</f>
        <v/>
      </c>
      <c r="O51" s="492"/>
      <c r="P51" s="492" t="str">
        <f aca="true">IF(Build!AB663,OFFSET(Spells!O$2,Build!AB663,0),"")</f>
        <v/>
      </c>
      <c r="Q51" s="492"/>
      <c r="R51" s="492" t="str">
        <f aca="true">IF(Build!AB663,OFFSET(Spells!P$2,Build!AB663,0),"")</f>
        <v/>
      </c>
      <c r="S51" s="492"/>
      <c r="T51" s="492" t="str">
        <f aca="true">IF(Build!AB663,OFFSET(Spells!Q$2,Build!AB663,0),"")</f>
        <v/>
      </c>
      <c r="U51" s="492"/>
      <c r="V51" s="492"/>
      <c r="W51" s="492" t="str">
        <f aca="true">IF(Build!AB663,OFFSET(Spells!S$2,Build!AB663,0),"")</f>
        <v/>
      </c>
      <c r="X51" s="492"/>
      <c r="Y51" s="492"/>
      <c r="Z51" s="507" t="str">
        <f aca="false">Build!AH663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IF(Build!AB663,OFFSET(Spells!T$2,Build!AB663,0),"")</f>
        <v/>
      </c>
      <c r="AL51" s="508"/>
      <c r="AM51" s="508"/>
    </row>
    <row r="52" customFormat="false" ht="11.1" hidden="false" customHeight="true" outlineLevel="0" collapsed="false">
      <c r="A52" s="389"/>
      <c r="B52" s="389"/>
      <c r="C52" s="491" t="str">
        <f aca="true">IF(Build!AB664,OFFSET(Spells!L$2,Build!AB664,0),"")</f>
        <v/>
      </c>
      <c r="D52" s="491"/>
      <c r="E52" s="491"/>
      <c r="F52" s="491"/>
      <c r="G52" s="491"/>
      <c r="H52" s="491"/>
      <c r="I52" s="491"/>
      <c r="J52" s="491"/>
      <c r="K52" s="491"/>
      <c r="L52" s="492" t="str">
        <f aca="true">IF(Build!AB664,OFFSET(Spells!M$2,Build!AB664,0),"")</f>
        <v/>
      </c>
      <c r="M52" s="492"/>
      <c r="N52" s="492" t="str">
        <f aca="true">IF(Build!AB664,OFFSET(Spells!N$2,Build!AB664,0),"")</f>
        <v/>
      </c>
      <c r="O52" s="492"/>
      <c r="P52" s="492" t="str">
        <f aca="true">IF(Build!AB664,OFFSET(Spells!O$2,Build!AB664,0),"")</f>
        <v/>
      </c>
      <c r="Q52" s="492"/>
      <c r="R52" s="492" t="str">
        <f aca="true">IF(Build!AB664,OFFSET(Spells!P$2,Build!AB664,0),"")</f>
        <v/>
      </c>
      <c r="S52" s="492"/>
      <c r="T52" s="492" t="str">
        <f aca="true">IF(Build!AB664,OFFSET(Spells!Q$2,Build!AB664,0),"")</f>
        <v/>
      </c>
      <c r="U52" s="492"/>
      <c r="V52" s="492"/>
      <c r="W52" s="492" t="str">
        <f aca="true">IF(Build!AB664,OFFSET(Spells!S$2,Build!AB664,0),"")</f>
        <v/>
      </c>
      <c r="X52" s="492"/>
      <c r="Y52" s="492"/>
      <c r="Z52" s="507" t="str">
        <f aca="false">Build!AH664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IF(Build!AB664,OFFSET(Spells!T$2,Build!AB664,0),"")</f>
        <v/>
      </c>
      <c r="AL52" s="508"/>
      <c r="AM52" s="508"/>
    </row>
    <row r="53" customFormat="false" ht="11.1" hidden="false" customHeight="true" outlineLevel="0" collapsed="false">
      <c r="A53" s="389"/>
      <c r="B53" s="389"/>
      <c r="C53" s="491" t="str">
        <f aca="true">IF(Build!AB665,OFFSET(Spells!L$2,Build!AB665,0),"")</f>
        <v/>
      </c>
      <c r="D53" s="491"/>
      <c r="E53" s="491"/>
      <c r="F53" s="491"/>
      <c r="G53" s="491"/>
      <c r="H53" s="491"/>
      <c r="I53" s="491"/>
      <c r="J53" s="491"/>
      <c r="K53" s="491"/>
      <c r="L53" s="492" t="str">
        <f aca="true">IF(Build!AB665,OFFSET(Spells!M$2,Build!AB665,0),"")</f>
        <v/>
      </c>
      <c r="M53" s="492"/>
      <c r="N53" s="492" t="str">
        <f aca="true">IF(Build!AB665,OFFSET(Spells!N$2,Build!AB665,0),"")</f>
        <v/>
      </c>
      <c r="O53" s="492"/>
      <c r="P53" s="492" t="str">
        <f aca="true">IF(Build!AB665,OFFSET(Spells!O$2,Build!AB665,0),"")</f>
        <v/>
      </c>
      <c r="Q53" s="492"/>
      <c r="R53" s="492" t="str">
        <f aca="true">IF(Build!AB665,OFFSET(Spells!P$2,Build!AB665,0),"")</f>
        <v/>
      </c>
      <c r="S53" s="492"/>
      <c r="T53" s="492" t="str">
        <f aca="true">IF(Build!AB665,OFFSET(Spells!Q$2,Build!AB665,0),"")</f>
        <v/>
      </c>
      <c r="U53" s="492"/>
      <c r="V53" s="492"/>
      <c r="W53" s="492" t="str">
        <f aca="true">IF(Build!AB665,OFFSET(Spells!S$2,Build!AB665,0),"")</f>
        <v/>
      </c>
      <c r="X53" s="492"/>
      <c r="Y53" s="492"/>
      <c r="Z53" s="507" t="str">
        <f aca="false">Build!AH665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IF(Build!AB665,OFFSET(Spells!T$2,Build!AB665,0),"")</f>
        <v/>
      </c>
      <c r="AL53" s="508"/>
      <c r="AM53" s="508"/>
    </row>
    <row r="54" customFormat="false" ht="11.1" hidden="false" customHeight="true" outlineLevel="0" collapsed="false">
      <c r="A54" s="389"/>
      <c r="B54" s="389"/>
      <c r="C54" s="491" t="str">
        <f aca="true">IF(Build!AB666,OFFSET(Spells!L$2,Build!AB666,0),"")</f>
        <v/>
      </c>
      <c r="D54" s="491"/>
      <c r="E54" s="491"/>
      <c r="F54" s="491"/>
      <c r="G54" s="491"/>
      <c r="H54" s="491"/>
      <c r="I54" s="491"/>
      <c r="J54" s="491"/>
      <c r="K54" s="491"/>
      <c r="L54" s="492" t="str">
        <f aca="true">IF(Build!AB666,OFFSET(Spells!M$2,Build!AB666,0),"")</f>
        <v/>
      </c>
      <c r="M54" s="492"/>
      <c r="N54" s="492" t="str">
        <f aca="true">IF(Build!AB666,OFFSET(Spells!N$2,Build!AB666,0),"")</f>
        <v/>
      </c>
      <c r="O54" s="492"/>
      <c r="P54" s="492" t="str">
        <f aca="true">IF(Build!AB666,OFFSET(Spells!O$2,Build!AB666,0),"")</f>
        <v/>
      </c>
      <c r="Q54" s="492"/>
      <c r="R54" s="492" t="str">
        <f aca="true">IF(Build!AB666,OFFSET(Spells!P$2,Build!AB666,0),"")</f>
        <v/>
      </c>
      <c r="S54" s="492"/>
      <c r="T54" s="492" t="str">
        <f aca="true">IF(Build!AB666,OFFSET(Spells!Q$2,Build!AB666,0),"")</f>
        <v/>
      </c>
      <c r="U54" s="492"/>
      <c r="V54" s="492"/>
      <c r="W54" s="492" t="str">
        <f aca="true">IF(Build!AB666,OFFSET(Spells!S$2,Build!AB666,0),"")</f>
        <v/>
      </c>
      <c r="X54" s="492"/>
      <c r="Y54" s="492"/>
      <c r="Z54" s="507" t="str">
        <f aca="false">Build!AH666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IF(Build!AB666,OFFSET(Spells!T$2,Build!AB666,0),"")</f>
        <v/>
      </c>
      <c r="AL54" s="508"/>
      <c r="AM54" s="508"/>
    </row>
    <row r="55" customFormat="false" ht="11.1" hidden="false" customHeight="true" outlineLevel="0" collapsed="false">
      <c r="A55" s="389"/>
      <c r="B55" s="389"/>
      <c r="C55" s="491" t="str">
        <f aca="true">IF(Build!AB667,OFFSET(Spells!L$2,Build!AB667,0),"")</f>
        <v/>
      </c>
      <c r="D55" s="491"/>
      <c r="E55" s="491"/>
      <c r="F55" s="491"/>
      <c r="G55" s="491"/>
      <c r="H55" s="491"/>
      <c r="I55" s="491"/>
      <c r="J55" s="491"/>
      <c r="K55" s="491"/>
      <c r="L55" s="492" t="str">
        <f aca="true">IF(Build!AB667,OFFSET(Spells!M$2,Build!AB667,0),"")</f>
        <v/>
      </c>
      <c r="M55" s="492"/>
      <c r="N55" s="492" t="str">
        <f aca="true">IF(Build!AB667,OFFSET(Spells!N$2,Build!AB667,0),"")</f>
        <v/>
      </c>
      <c r="O55" s="492"/>
      <c r="P55" s="492" t="str">
        <f aca="true">IF(Build!AB667,OFFSET(Spells!O$2,Build!AB667,0),"")</f>
        <v/>
      </c>
      <c r="Q55" s="492"/>
      <c r="R55" s="492" t="str">
        <f aca="true">IF(Build!AB667,OFFSET(Spells!P$2,Build!AB667,0),"")</f>
        <v/>
      </c>
      <c r="S55" s="492"/>
      <c r="T55" s="492" t="str">
        <f aca="true">IF(Build!AB667,OFFSET(Spells!Q$2,Build!AB667,0),"")</f>
        <v/>
      </c>
      <c r="U55" s="492"/>
      <c r="V55" s="492"/>
      <c r="W55" s="492" t="str">
        <f aca="true">IF(Build!AB667,OFFSET(Spells!S$2,Build!AB667,0),"")</f>
        <v/>
      </c>
      <c r="X55" s="492"/>
      <c r="Y55" s="492"/>
      <c r="Z55" s="507" t="str">
        <f aca="false">Build!AH667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IF(Build!AB667,OFFSET(Spells!T$2,Build!AB667,0),"")</f>
        <v/>
      </c>
      <c r="AL55" s="508"/>
      <c r="AM55" s="508"/>
    </row>
    <row r="56" customFormat="false" ht="11.1" hidden="false" customHeight="true" outlineLevel="0" collapsed="false">
      <c r="A56" s="389"/>
      <c r="B56" s="389"/>
      <c r="C56" s="491" t="str">
        <f aca="true">IF(Build!AB668,OFFSET(Spells!L$2,Build!AB668,0),"")</f>
        <v/>
      </c>
      <c r="D56" s="491"/>
      <c r="E56" s="491"/>
      <c r="F56" s="491"/>
      <c r="G56" s="491"/>
      <c r="H56" s="491"/>
      <c r="I56" s="491"/>
      <c r="J56" s="491"/>
      <c r="K56" s="491"/>
      <c r="L56" s="492" t="str">
        <f aca="true">IF(Build!AB668,OFFSET(Spells!M$2,Build!AB668,0),"")</f>
        <v/>
      </c>
      <c r="M56" s="492"/>
      <c r="N56" s="492" t="str">
        <f aca="true">IF(Build!AB668,OFFSET(Spells!N$2,Build!AB668,0),"")</f>
        <v/>
      </c>
      <c r="O56" s="492"/>
      <c r="P56" s="492" t="str">
        <f aca="true">IF(Build!AB668,OFFSET(Spells!O$2,Build!AB668,0),"")</f>
        <v/>
      </c>
      <c r="Q56" s="492"/>
      <c r="R56" s="492" t="str">
        <f aca="true">IF(Build!AB668,OFFSET(Spells!P$2,Build!AB668,0),"")</f>
        <v/>
      </c>
      <c r="S56" s="492"/>
      <c r="T56" s="492" t="str">
        <f aca="true">IF(Build!AB668,OFFSET(Spells!Q$2,Build!AB668,0),"")</f>
        <v/>
      </c>
      <c r="U56" s="492"/>
      <c r="V56" s="492"/>
      <c r="W56" s="492" t="str">
        <f aca="true">IF(Build!AB668,OFFSET(Spells!S$2,Build!AB668,0),"")</f>
        <v/>
      </c>
      <c r="X56" s="492"/>
      <c r="Y56" s="492"/>
      <c r="Z56" s="507" t="str">
        <f aca="false">Build!AH668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IF(Build!AB668,OFFSET(Spells!T$2,Build!AB668,0),"")</f>
        <v/>
      </c>
      <c r="AL56" s="508"/>
      <c r="AM56" s="508"/>
    </row>
    <row r="57" customFormat="false" ht="11.1" hidden="false" customHeight="true" outlineLevel="0" collapsed="false">
      <c r="A57" s="389"/>
      <c r="B57" s="389"/>
      <c r="C57" s="491" t="str">
        <f aca="true">IF(Build!AB669,OFFSET(Spells!L$2,Build!AB669,0),"")</f>
        <v/>
      </c>
      <c r="D57" s="491"/>
      <c r="E57" s="491"/>
      <c r="F57" s="491"/>
      <c r="G57" s="491"/>
      <c r="H57" s="491"/>
      <c r="I57" s="491"/>
      <c r="J57" s="491"/>
      <c r="K57" s="491"/>
      <c r="L57" s="492" t="str">
        <f aca="true">IF(Build!AB669,OFFSET(Spells!M$2,Build!AB669,0),"")</f>
        <v/>
      </c>
      <c r="M57" s="492"/>
      <c r="N57" s="492" t="str">
        <f aca="true">IF(Build!AB669,OFFSET(Spells!N$2,Build!AB669,0),"")</f>
        <v/>
      </c>
      <c r="O57" s="492"/>
      <c r="P57" s="492" t="str">
        <f aca="true">IF(Build!AB669,OFFSET(Spells!O$2,Build!AB669,0),"")</f>
        <v/>
      </c>
      <c r="Q57" s="492"/>
      <c r="R57" s="492" t="str">
        <f aca="true">IF(Build!AB669,OFFSET(Spells!P$2,Build!AB669,0),"")</f>
        <v/>
      </c>
      <c r="S57" s="492"/>
      <c r="T57" s="492" t="str">
        <f aca="true">IF(Build!AB669,OFFSET(Spells!Q$2,Build!AB669,0),"")</f>
        <v/>
      </c>
      <c r="U57" s="492"/>
      <c r="V57" s="492"/>
      <c r="W57" s="492" t="str">
        <f aca="true">IF(Build!AB669,OFFSET(Spells!S$2,Build!AB669,0),"")</f>
        <v/>
      </c>
      <c r="X57" s="492"/>
      <c r="Y57" s="492"/>
      <c r="Z57" s="507" t="str">
        <f aca="false">Build!AH669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IF(Build!AB669,OFFSET(Spells!T$2,Build!AB669,0),"")</f>
        <v/>
      </c>
      <c r="AL57" s="508"/>
      <c r="AM57" s="508"/>
    </row>
    <row r="58" customFormat="false" ht="11.1" hidden="false" customHeight="true" outlineLevel="0" collapsed="false">
      <c r="A58" s="389"/>
      <c r="B58" s="389"/>
      <c r="C58" s="491" t="str">
        <f aca="true">IF(Build!AB670,OFFSET(Spells!L$2,Build!AB670,0),"")</f>
        <v/>
      </c>
      <c r="D58" s="491"/>
      <c r="E58" s="491"/>
      <c r="F58" s="491"/>
      <c r="G58" s="491"/>
      <c r="H58" s="491"/>
      <c r="I58" s="491"/>
      <c r="J58" s="491"/>
      <c r="K58" s="491"/>
      <c r="L58" s="492" t="str">
        <f aca="true">IF(Build!AB670,OFFSET(Spells!M$2,Build!AB670,0),"")</f>
        <v/>
      </c>
      <c r="M58" s="492"/>
      <c r="N58" s="492" t="str">
        <f aca="true">IF(Build!AB670,OFFSET(Spells!N$2,Build!AB670,0),"")</f>
        <v/>
      </c>
      <c r="O58" s="492"/>
      <c r="P58" s="492" t="str">
        <f aca="true">IF(Build!AB670,OFFSET(Spells!O$2,Build!AB670,0),"")</f>
        <v/>
      </c>
      <c r="Q58" s="492"/>
      <c r="R58" s="492" t="str">
        <f aca="true">IF(Build!AB670,OFFSET(Spells!P$2,Build!AB670,0),"")</f>
        <v/>
      </c>
      <c r="S58" s="492"/>
      <c r="T58" s="492" t="str">
        <f aca="true">IF(Build!AB670,OFFSET(Spells!Q$2,Build!AB670,0),"")</f>
        <v/>
      </c>
      <c r="U58" s="492"/>
      <c r="V58" s="492"/>
      <c r="W58" s="492" t="str">
        <f aca="true">IF(Build!AB670,OFFSET(Spells!S$2,Build!AB670,0),"")</f>
        <v/>
      </c>
      <c r="X58" s="492"/>
      <c r="Y58" s="492"/>
      <c r="Z58" s="507" t="str">
        <f aca="false">Build!AH670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IF(Build!AB670,OFFSET(Spells!T$2,Build!AB670,0),"")</f>
        <v/>
      </c>
      <c r="AL58" s="508"/>
      <c r="AM58" s="508"/>
    </row>
    <row r="59" customFormat="false" ht="11.1" hidden="false" customHeight="true" outlineLevel="0" collapsed="false">
      <c r="A59" s="389"/>
      <c r="B59" s="389"/>
      <c r="C59" s="491" t="str">
        <f aca="true">IF(Build!AB671,OFFSET(Spells!L$2,Build!AB671,0),"")</f>
        <v/>
      </c>
      <c r="D59" s="491"/>
      <c r="E59" s="491"/>
      <c r="F59" s="491"/>
      <c r="G59" s="491"/>
      <c r="H59" s="491"/>
      <c r="I59" s="491"/>
      <c r="J59" s="491"/>
      <c r="K59" s="491"/>
      <c r="L59" s="492" t="str">
        <f aca="true">IF(Build!AB671,OFFSET(Spells!M$2,Build!AB671,0),"")</f>
        <v/>
      </c>
      <c r="M59" s="492"/>
      <c r="N59" s="492" t="str">
        <f aca="true">IF(Build!AB671,OFFSET(Spells!N$2,Build!AB671,0),"")</f>
        <v/>
      </c>
      <c r="O59" s="492"/>
      <c r="P59" s="492" t="str">
        <f aca="true">IF(Build!AB671,OFFSET(Spells!O$2,Build!AB671,0),"")</f>
        <v/>
      </c>
      <c r="Q59" s="492"/>
      <c r="R59" s="492" t="str">
        <f aca="true">IF(Build!AB671,OFFSET(Spells!P$2,Build!AB671,0),"")</f>
        <v/>
      </c>
      <c r="S59" s="492"/>
      <c r="T59" s="492" t="str">
        <f aca="true">IF(Build!AB671,OFFSET(Spells!Q$2,Build!AB671,0),"")</f>
        <v/>
      </c>
      <c r="U59" s="492"/>
      <c r="V59" s="492"/>
      <c r="W59" s="492" t="str">
        <f aca="true">IF(Build!AB671,OFFSET(Spells!S$2,Build!AB671,0),"")</f>
        <v/>
      </c>
      <c r="X59" s="492"/>
      <c r="Y59" s="492"/>
      <c r="Z59" s="507" t="str">
        <f aca="false">Build!AH671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IF(Build!AB671,OFFSET(Spells!T$2,Build!AB671,0),"")</f>
        <v/>
      </c>
      <c r="AL59" s="508"/>
      <c r="AM59" s="508"/>
    </row>
    <row r="60" customFormat="false" ht="11.1" hidden="false" customHeight="true" outlineLevel="0" collapsed="false">
      <c r="A60" s="389"/>
      <c r="B60" s="389"/>
      <c r="C60" s="491" t="str">
        <f aca="true">IF(Build!AB672,OFFSET(Spells!L$2,Build!AB672,0),"")</f>
        <v/>
      </c>
      <c r="D60" s="491"/>
      <c r="E60" s="491"/>
      <c r="F60" s="491"/>
      <c r="G60" s="491"/>
      <c r="H60" s="491"/>
      <c r="I60" s="491"/>
      <c r="J60" s="491"/>
      <c r="K60" s="491"/>
      <c r="L60" s="492" t="str">
        <f aca="true">IF(Build!AB672,OFFSET(Spells!M$2,Build!AB672,0),"")</f>
        <v/>
      </c>
      <c r="M60" s="492"/>
      <c r="N60" s="492" t="str">
        <f aca="true">IF(Build!AB672,OFFSET(Spells!N$2,Build!AB672,0),"")</f>
        <v/>
      </c>
      <c r="O60" s="492"/>
      <c r="P60" s="492" t="str">
        <f aca="true">IF(Build!AB672,OFFSET(Spells!O$2,Build!AB672,0),"")</f>
        <v/>
      </c>
      <c r="Q60" s="492"/>
      <c r="R60" s="492" t="str">
        <f aca="true">IF(Build!AB672,OFFSET(Spells!P$2,Build!AB672,0),"")</f>
        <v/>
      </c>
      <c r="S60" s="492"/>
      <c r="T60" s="492" t="str">
        <f aca="true">IF(Build!AB672,OFFSET(Spells!Q$2,Build!AB672,0),"")</f>
        <v/>
      </c>
      <c r="U60" s="492"/>
      <c r="V60" s="492"/>
      <c r="W60" s="492" t="str">
        <f aca="true">IF(Build!AB672,OFFSET(Spells!S$2,Build!AB672,0),"")</f>
        <v/>
      </c>
      <c r="X60" s="492"/>
      <c r="Y60" s="492"/>
      <c r="Z60" s="507" t="str">
        <f aca="false">Build!AH672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IF(Build!AB672,OFFSET(Spells!T$2,Build!AB672,0),"")</f>
        <v/>
      </c>
      <c r="AL60" s="508"/>
      <c r="AM60" s="508"/>
    </row>
    <row r="61" customFormat="false" ht="11.1" hidden="false" customHeight="true" outlineLevel="0" collapsed="false">
      <c r="A61" s="389"/>
      <c r="B61" s="389"/>
      <c r="C61" s="491" t="str">
        <f aca="true">IF(Build!AB673,OFFSET(Spells!L$2,Build!AB673,0),"")</f>
        <v/>
      </c>
      <c r="D61" s="491"/>
      <c r="E61" s="491"/>
      <c r="F61" s="491"/>
      <c r="G61" s="491"/>
      <c r="H61" s="491"/>
      <c r="I61" s="491"/>
      <c r="J61" s="491"/>
      <c r="K61" s="491"/>
      <c r="L61" s="492" t="str">
        <f aca="true">IF(Build!AB673,OFFSET(Spells!M$2,Build!AB673,0),"")</f>
        <v/>
      </c>
      <c r="M61" s="492"/>
      <c r="N61" s="492" t="str">
        <f aca="true">IF(Build!AB673,OFFSET(Spells!N$2,Build!AB673,0),"")</f>
        <v/>
      </c>
      <c r="O61" s="492"/>
      <c r="P61" s="492" t="str">
        <f aca="true">IF(Build!AB673,OFFSET(Spells!O$2,Build!AB673,0),"")</f>
        <v/>
      </c>
      <c r="Q61" s="492"/>
      <c r="R61" s="492" t="str">
        <f aca="true">IF(Build!AB673,OFFSET(Spells!P$2,Build!AB673,0),"")</f>
        <v/>
      </c>
      <c r="S61" s="492"/>
      <c r="T61" s="492" t="str">
        <f aca="true">IF(Build!AB673,OFFSET(Spells!Q$2,Build!AB673,0),"")</f>
        <v/>
      </c>
      <c r="U61" s="492"/>
      <c r="V61" s="492"/>
      <c r="W61" s="492" t="str">
        <f aca="true">IF(Build!AB673,OFFSET(Spells!S$2,Build!AB673,0),"")</f>
        <v/>
      </c>
      <c r="X61" s="492"/>
      <c r="Y61" s="492"/>
      <c r="Z61" s="507" t="str">
        <f aca="false">Build!AH673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IF(Build!AB673,OFFSET(Spells!T$2,Build!AB673,0),"")</f>
        <v/>
      </c>
      <c r="AL61" s="508"/>
      <c r="AM61" s="508"/>
    </row>
    <row r="62" customFormat="false" ht="11.1" hidden="false" customHeight="true" outlineLevel="0" collapsed="false">
      <c r="A62" s="389"/>
      <c r="B62" s="389"/>
      <c r="C62" s="491" t="str">
        <f aca="true">IF(Build!AB674,OFFSET(Spells!L$2,Build!AB674,0),"")</f>
        <v/>
      </c>
      <c r="D62" s="491"/>
      <c r="E62" s="491"/>
      <c r="F62" s="491"/>
      <c r="G62" s="491"/>
      <c r="H62" s="491"/>
      <c r="I62" s="491"/>
      <c r="J62" s="491"/>
      <c r="K62" s="491"/>
      <c r="L62" s="492" t="str">
        <f aca="true">IF(Build!AB674,OFFSET(Spells!M$2,Build!AB674,0),"")</f>
        <v/>
      </c>
      <c r="M62" s="492"/>
      <c r="N62" s="492" t="str">
        <f aca="true">IF(Build!AB674,OFFSET(Spells!N$2,Build!AB674,0),"")</f>
        <v/>
      </c>
      <c r="O62" s="492"/>
      <c r="P62" s="492" t="str">
        <f aca="true">IF(Build!AB674,OFFSET(Spells!O$2,Build!AB674,0),"")</f>
        <v/>
      </c>
      <c r="Q62" s="492"/>
      <c r="R62" s="492" t="str">
        <f aca="true">IF(Build!AB674,OFFSET(Spells!P$2,Build!AB674,0),"")</f>
        <v/>
      </c>
      <c r="S62" s="492"/>
      <c r="T62" s="492" t="str">
        <f aca="true">IF(Build!AB674,OFFSET(Spells!Q$2,Build!AB674,0),"")</f>
        <v/>
      </c>
      <c r="U62" s="492"/>
      <c r="V62" s="492"/>
      <c r="W62" s="492" t="str">
        <f aca="true">IF(Build!AB674,OFFSET(Spells!S$2,Build!AB674,0),"")</f>
        <v/>
      </c>
      <c r="X62" s="492"/>
      <c r="Y62" s="492"/>
      <c r="Z62" s="507" t="str">
        <f aca="false">Build!AH674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IF(Build!AB674,OFFSET(Spells!T$2,Build!AB674,0),"")</f>
        <v/>
      </c>
      <c r="AL62" s="508"/>
      <c r="AM62" s="508"/>
    </row>
    <row r="63" customFormat="false" ht="11.1" hidden="false" customHeight="true" outlineLevel="0" collapsed="false">
      <c r="A63" s="389"/>
      <c r="B63" s="389"/>
      <c r="C63" s="491" t="str">
        <f aca="true">IF(Build!AB675,OFFSET(Spells!L$2,Build!AB675,0),"")</f>
        <v/>
      </c>
      <c r="D63" s="491"/>
      <c r="E63" s="491"/>
      <c r="F63" s="491"/>
      <c r="G63" s="491"/>
      <c r="H63" s="491"/>
      <c r="I63" s="491"/>
      <c r="J63" s="491"/>
      <c r="K63" s="491"/>
      <c r="L63" s="492" t="str">
        <f aca="true">IF(Build!AB675,OFFSET(Spells!M$2,Build!AB675,0),"")</f>
        <v/>
      </c>
      <c r="M63" s="492"/>
      <c r="N63" s="492" t="str">
        <f aca="true">IF(Build!AB675,OFFSET(Spells!N$2,Build!AB675,0),"")</f>
        <v/>
      </c>
      <c r="O63" s="492"/>
      <c r="P63" s="492" t="str">
        <f aca="true">IF(Build!AB675,OFFSET(Spells!O$2,Build!AB675,0),"")</f>
        <v/>
      </c>
      <c r="Q63" s="492"/>
      <c r="R63" s="492" t="str">
        <f aca="true">IF(Build!AB675,OFFSET(Spells!P$2,Build!AB675,0),"")</f>
        <v/>
      </c>
      <c r="S63" s="492"/>
      <c r="T63" s="492" t="str">
        <f aca="true">IF(Build!AB675,OFFSET(Spells!Q$2,Build!AB675,0),"")</f>
        <v/>
      </c>
      <c r="U63" s="492"/>
      <c r="V63" s="492"/>
      <c r="W63" s="492" t="str">
        <f aca="true">IF(Build!AB675,OFFSET(Spells!S$2,Build!AB675,0),"")</f>
        <v/>
      </c>
      <c r="X63" s="492"/>
      <c r="Y63" s="492"/>
      <c r="Z63" s="507" t="str">
        <f aca="false">Build!AH675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IF(Build!AB675,OFFSET(Spells!T$2,Build!AB675,0),"")</f>
        <v/>
      </c>
      <c r="AL63" s="508"/>
      <c r="AM63" s="508"/>
    </row>
    <row r="64" customFormat="false" ht="11.1" hidden="false" customHeight="true" outlineLevel="0" collapsed="false">
      <c r="A64" s="389"/>
      <c r="B64" s="389"/>
      <c r="C64" s="491" t="str">
        <f aca="true">IF(Build!AB676,OFFSET(Spells!L$2,Build!AB676,0),"")</f>
        <v/>
      </c>
      <c r="D64" s="491"/>
      <c r="E64" s="491"/>
      <c r="F64" s="491"/>
      <c r="G64" s="491"/>
      <c r="H64" s="491"/>
      <c r="I64" s="491"/>
      <c r="J64" s="491"/>
      <c r="K64" s="491"/>
      <c r="L64" s="492" t="str">
        <f aca="true">IF(Build!AB676,OFFSET(Spells!M$2,Build!AB676,0),"")</f>
        <v/>
      </c>
      <c r="M64" s="492"/>
      <c r="N64" s="492" t="str">
        <f aca="true">IF(Build!AB676,OFFSET(Spells!N$2,Build!AB676,0),"")</f>
        <v/>
      </c>
      <c r="O64" s="492"/>
      <c r="P64" s="492" t="str">
        <f aca="true">IF(Build!AB676,OFFSET(Spells!O$2,Build!AB676,0),"")</f>
        <v/>
      </c>
      <c r="Q64" s="492"/>
      <c r="R64" s="492" t="str">
        <f aca="true">IF(Build!AB676,OFFSET(Spells!P$2,Build!AB676,0),"")</f>
        <v/>
      </c>
      <c r="S64" s="492"/>
      <c r="T64" s="492" t="str">
        <f aca="true">IF(Build!AB676,OFFSET(Spells!Q$2,Build!AB676,0),"")</f>
        <v/>
      </c>
      <c r="U64" s="492"/>
      <c r="V64" s="492"/>
      <c r="W64" s="492" t="str">
        <f aca="true">IF(Build!AB676,OFFSET(Spells!S$2,Build!AB676,0),"")</f>
        <v/>
      </c>
      <c r="X64" s="492"/>
      <c r="Y64" s="492"/>
      <c r="Z64" s="507" t="str">
        <f aca="false">Build!AH676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IF(Build!AB676,OFFSET(Spells!T$2,Build!AB676,0),"")</f>
        <v/>
      </c>
      <c r="AL64" s="508"/>
      <c r="AM64" s="508"/>
    </row>
    <row r="65" customFormat="false" ht="11.1" hidden="false" customHeight="true" outlineLevel="0" collapsed="false">
      <c r="A65" s="389"/>
      <c r="B65" s="389"/>
      <c r="C65" s="491" t="str">
        <f aca="true">IF(Build!AB677,OFFSET(Spells!L$2,Build!AB677,0),"")</f>
        <v/>
      </c>
      <c r="D65" s="491"/>
      <c r="E65" s="491"/>
      <c r="F65" s="491"/>
      <c r="G65" s="491"/>
      <c r="H65" s="491"/>
      <c r="I65" s="491"/>
      <c r="J65" s="491"/>
      <c r="K65" s="491"/>
      <c r="L65" s="492" t="str">
        <f aca="true">IF(Build!AB677,OFFSET(Spells!M$2,Build!AB677,0),"")</f>
        <v/>
      </c>
      <c r="M65" s="492"/>
      <c r="N65" s="492" t="str">
        <f aca="true">IF(Build!AB677,OFFSET(Spells!N$2,Build!AB677,0),"")</f>
        <v/>
      </c>
      <c r="O65" s="492"/>
      <c r="P65" s="492" t="str">
        <f aca="true">IF(Build!AB677,OFFSET(Spells!O$2,Build!AB677,0),"")</f>
        <v/>
      </c>
      <c r="Q65" s="492"/>
      <c r="R65" s="492" t="str">
        <f aca="true">IF(Build!AB677,OFFSET(Spells!P$2,Build!AB677,0),"")</f>
        <v/>
      </c>
      <c r="S65" s="492"/>
      <c r="T65" s="492" t="str">
        <f aca="true">IF(Build!AB677,OFFSET(Spells!Q$2,Build!AB677,0),"")</f>
        <v/>
      </c>
      <c r="U65" s="492"/>
      <c r="V65" s="492"/>
      <c r="W65" s="492" t="str">
        <f aca="true">IF(Build!AB677,OFFSET(Spells!S$2,Build!AB677,0),"")</f>
        <v/>
      </c>
      <c r="X65" s="492"/>
      <c r="Y65" s="492"/>
      <c r="Z65" s="507" t="str">
        <f aca="false">Build!AH677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IF(Build!AB677,OFFSET(Spells!T$2,Build!AB677,0),"")</f>
        <v/>
      </c>
      <c r="AL65" s="508"/>
      <c r="AM65" s="508"/>
    </row>
    <row r="66" customFormat="false" ht="11.1" hidden="false" customHeight="true" outlineLevel="0" collapsed="false">
      <c r="A66" s="389"/>
      <c r="B66" s="389"/>
      <c r="C66" s="491" t="str">
        <f aca="true">IF(Build!AB678,OFFSET(Spells!L$2,Build!AB678,0),"")</f>
        <v/>
      </c>
      <c r="D66" s="491"/>
      <c r="E66" s="491"/>
      <c r="F66" s="491"/>
      <c r="G66" s="491"/>
      <c r="H66" s="491"/>
      <c r="I66" s="491"/>
      <c r="J66" s="491"/>
      <c r="K66" s="491"/>
      <c r="L66" s="492" t="str">
        <f aca="true">IF(Build!AB678,OFFSET(Spells!M$2,Build!AB678,0),"")</f>
        <v/>
      </c>
      <c r="M66" s="492"/>
      <c r="N66" s="492" t="str">
        <f aca="true">IF(Build!AB678,OFFSET(Spells!N$2,Build!AB678,0),"")</f>
        <v/>
      </c>
      <c r="O66" s="492"/>
      <c r="P66" s="492" t="str">
        <f aca="true">IF(Build!AB678,OFFSET(Spells!O$2,Build!AB678,0),"")</f>
        <v/>
      </c>
      <c r="Q66" s="492"/>
      <c r="R66" s="492" t="str">
        <f aca="true">IF(Build!AB678,OFFSET(Spells!P$2,Build!AB678,0),"")</f>
        <v/>
      </c>
      <c r="S66" s="492"/>
      <c r="T66" s="492" t="str">
        <f aca="true">IF(Build!AB678,OFFSET(Spells!Q$2,Build!AB678,0),"")</f>
        <v/>
      </c>
      <c r="U66" s="492"/>
      <c r="V66" s="492"/>
      <c r="W66" s="492" t="str">
        <f aca="true">IF(Build!AB678,OFFSET(Spells!S$2,Build!AB678,0),"")</f>
        <v/>
      </c>
      <c r="X66" s="492"/>
      <c r="Y66" s="492"/>
      <c r="Z66" s="507" t="str">
        <f aca="false">Build!AH678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508" t="str">
        <f aca="true">IF(Build!AB678,OFFSET(Spells!T$2,Build!AB678,0),"")</f>
        <v/>
      </c>
      <c r="AL66" s="508"/>
      <c r="AM66" s="508"/>
    </row>
    <row r="67" customFormat="false" ht="11.1" hidden="false" customHeight="true" outlineLevel="0" collapsed="false">
      <c r="A67" s="389"/>
      <c r="B67" s="389"/>
      <c r="C67" s="491" t="str">
        <f aca="true">IF(Build!AB679,OFFSET(Spells!L$2,Build!AB679,0),"")</f>
        <v/>
      </c>
      <c r="D67" s="491"/>
      <c r="E67" s="491"/>
      <c r="F67" s="491"/>
      <c r="G67" s="491"/>
      <c r="H67" s="491"/>
      <c r="I67" s="491"/>
      <c r="J67" s="491"/>
      <c r="K67" s="491"/>
      <c r="L67" s="492" t="str">
        <f aca="true">IF(Build!AB679,OFFSET(Spells!M$2,Build!AB679,0),"")</f>
        <v/>
      </c>
      <c r="M67" s="492"/>
      <c r="N67" s="492" t="str">
        <f aca="true">IF(Build!AB679,OFFSET(Spells!N$2,Build!AB679,0),"")</f>
        <v/>
      </c>
      <c r="O67" s="492"/>
      <c r="P67" s="492" t="str">
        <f aca="true">IF(Build!AB679,OFFSET(Spells!O$2,Build!AB679,0),"")</f>
        <v/>
      </c>
      <c r="Q67" s="492"/>
      <c r="R67" s="492" t="str">
        <f aca="true">IF(Build!AB679,OFFSET(Spells!P$2,Build!AB679,0),"")</f>
        <v/>
      </c>
      <c r="S67" s="492"/>
      <c r="T67" s="492" t="str">
        <f aca="true">IF(Build!AB679,OFFSET(Spells!Q$2,Build!AB679,0),"")</f>
        <v/>
      </c>
      <c r="U67" s="492"/>
      <c r="V67" s="492"/>
      <c r="W67" s="492" t="str">
        <f aca="true">IF(Build!AB679,OFFSET(Spells!S$2,Build!AB679,0),"")</f>
        <v/>
      </c>
      <c r="X67" s="492"/>
      <c r="Y67" s="492"/>
      <c r="Z67" s="507" t="str">
        <f aca="false">Build!AH679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508" t="str">
        <f aca="true">IF(Build!AB679,OFFSET(Spells!T$2,Build!AB679,0),"")</f>
        <v/>
      </c>
      <c r="AL67" s="508"/>
      <c r="AM67" s="508"/>
    </row>
    <row r="68" customFormat="false" ht="11.1" hidden="false" customHeight="true" outlineLevel="0" collapsed="false">
      <c r="A68" s="498"/>
      <c r="B68" s="498"/>
      <c r="C68" s="509" t="str">
        <f aca="true">IF(Build!AB680,OFFSET(Spells!L$2,Build!AB680,0),"")</f>
        <v/>
      </c>
      <c r="D68" s="509"/>
      <c r="E68" s="509"/>
      <c r="F68" s="509"/>
      <c r="G68" s="509"/>
      <c r="H68" s="509"/>
      <c r="I68" s="509"/>
      <c r="J68" s="509"/>
      <c r="K68" s="509"/>
      <c r="L68" s="510" t="str">
        <f aca="true">IF(Build!AB680,OFFSET(Spells!M$2,Build!AB680,0),"")</f>
        <v/>
      </c>
      <c r="M68" s="510"/>
      <c r="N68" s="510" t="str">
        <f aca="true">IF(Build!AB680,OFFSET(Spells!N$2,Build!AB680,0),"")</f>
        <v/>
      </c>
      <c r="O68" s="510"/>
      <c r="P68" s="510" t="str">
        <f aca="true">IF(Build!AB680,OFFSET(Spells!O$2,Build!AB680,0),"")</f>
        <v/>
      </c>
      <c r="Q68" s="510"/>
      <c r="R68" s="510" t="str">
        <f aca="true">IF(Build!AB680,OFFSET(Spells!P$2,Build!AB680,0),"")</f>
        <v/>
      </c>
      <c r="S68" s="510"/>
      <c r="T68" s="510" t="str">
        <f aca="true">IF(Build!AB680,OFFSET(Spells!Q$2,Build!AB680,0),"")</f>
        <v/>
      </c>
      <c r="U68" s="510"/>
      <c r="V68" s="510"/>
      <c r="W68" s="510" t="str">
        <f aca="true">IF(Build!AB680,OFFSET(Spells!S$2,Build!AB680,0),"")</f>
        <v/>
      </c>
      <c r="X68" s="510"/>
      <c r="Y68" s="510"/>
      <c r="Z68" s="507" t="str">
        <f aca="false">Build!AH680</f>
        <v>Effect</v>
      </c>
      <c r="AA68" s="507"/>
      <c r="AB68" s="507"/>
      <c r="AC68" s="511" t="e">
        <f aca="false">IF(Z68&lt;&gt;"",VLOOKUP(LEFT(Z68,FIND("+",Z68&amp;"+")-1),Build!X$596:Y$603,2,0)+IF(LEN(Z68)&gt;2,MID(Z68,FIND("+",Z68&amp;"+")+1,2),0),"")</f>
        <v>#N/A</v>
      </c>
      <c r="AD68" s="511"/>
      <c r="AE68" s="512" t="e">
        <f aca="true">IF(AC68&lt;&gt;"",OFFSET(ActionDice,AC68,0),"")</f>
        <v>#N/A</v>
      </c>
      <c r="AF68" s="512"/>
      <c r="AG68" s="512"/>
      <c r="AH68" s="512"/>
      <c r="AI68" s="512"/>
      <c r="AJ68" s="512"/>
      <c r="AK68" s="513" t="str">
        <f aca="true">IF(Build!AB680,OFFSET(Spells!T$2,Build!AB680,0),"")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5" activeCellId="0" sqref="C5"/>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16"/>
    <col collapsed="false" customWidth="true" hidden="false" outlineLevel="0" max="10" min="10" style="0" width="2.82"/>
    <col collapsed="false" customWidth="true" hidden="false" outlineLevel="0" max="11" min="11" style="0" width="0.16"/>
    <col collapsed="false" customWidth="true" hidden="false" outlineLevel="0" max="14" min="12" style="0" width="2.82"/>
    <col collapsed="false" customWidth="true" hidden="false" outlineLevel="0" max="15" min="15" style="0" width="3.67"/>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1.85"/>
    <col collapsed="false" customWidth="true" hidden="false" outlineLevel="0" max="27" min="26" style="0" width="2.82"/>
    <col collapsed="false" customWidth="true" hidden="false" outlineLevel="0" max="28" min="28" style="0" width="49.67"/>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1077</v>
      </c>
      <c r="B4" s="486"/>
      <c r="C4" s="487" t="s">
        <v>1179</v>
      </c>
      <c r="D4" s="487"/>
      <c r="E4" s="487"/>
      <c r="F4" s="487"/>
      <c r="G4" s="487"/>
      <c r="H4" s="487"/>
      <c r="I4" s="487"/>
      <c r="J4" s="487"/>
      <c r="K4" s="487"/>
      <c r="L4" s="488" t="s">
        <v>981</v>
      </c>
      <c r="M4" s="488"/>
      <c r="N4" s="488" t="s">
        <v>179</v>
      </c>
      <c r="O4" s="488"/>
      <c r="P4" s="505" t="s">
        <v>1189</v>
      </c>
      <c r="Q4" s="505"/>
      <c r="R4" s="505" t="s">
        <v>1187</v>
      </c>
      <c r="S4" s="505"/>
      <c r="T4" s="488" t="s">
        <v>338</v>
      </c>
      <c r="U4" s="488"/>
      <c r="V4" s="488"/>
      <c r="W4" s="488" t="s">
        <v>1184</v>
      </c>
      <c r="X4" s="488"/>
      <c r="Y4" s="488"/>
      <c r="Z4" s="488" t="s">
        <v>877</v>
      </c>
      <c r="AA4" s="488"/>
      <c r="AB4" s="488"/>
      <c r="AC4" s="488" t="s">
        <v>341</v>
      </c>
      <c r="AD4" s="488"/>
      <c r="AE4" s="488" t="s">
        <v>979</v>
      </c>
      <c r="AF4" s="488"/>
      <c r="AG4" s="488"/>
      <c r="AH4" s="488"/>
      <c r="AI4" s="488"/>
      <c r="AJ4" s="488"/>
      <c r="AK4" s="506" t="s">
        <v>1185</v>
      </c>
      <c r="AL4" s="506"/>
      <c r="AM4" s="506"/>
    </row>
    <row r="5" customFormat="false" ht="11.1" hidden="false" customHeight="true" outlineLevel="0" collapsed="false">
      <c r="A5" s="389"/>
      <c r="B5" s="389"/>
      <c r="C5" s="491" t="str">
        <f aca="true">IF(Build!AC617,OFFSET(Spells!V$2,Build!AC617,0),"")</f>
        <v/>
      </c>
      <c r="D5" s="491"/>
      <c r="E5" s="491"/>
      <c r="F5" s="491"/>
      <c r="G5" s="491"/>
      <c r="H5" s="491"/>
      <c r="I5" s="491"/>
      <c r="J5" s="491"/>
      <c r="K5" s="491"/>
      <c r="L5" s="492" t="str">
        <f aca="true">IF(Build!AC617,OFFSET(Spells!W$2,Build!AC617,0),"")</f>
        <v/>
      </c>
      <c r="M5" s="492"/>
      <c r="N5" s="492" t="str">
        <f aca="true">IF(Build!AC617,OFFSET(Spells!X$2,Build!AC617,0),"")</f>
        <v/>
      </c>
      <c r="O5" s="492"/>
      <c r="P5" s="492" t="str">
        <f aca="true">IF(Build!AC617,OFFSET(Spells!Y$2,Build!AC617,0),"")</f>
        <v/>
      </c>
      <c r="Q5" s="492"/>
      <c r="R5" s="492" t="str">
        <f aca="true">IF(Build!AC617,OFFSET(Spells!Z$2,Build!AC617,0),"")</f>
        <v/>
      </c>
      <c r="S5" s="492"/>
      <c r="T5" s="492" t="str">
        <f aca="true">IF(Build!AC617,OFFSET(Spells!AA$2,Build!AC617,0),"")</f>
        <v/>
      </c>
      <c r="U5" s="492"/>
      <c r="V5" s="492"/>
      <c r="W5" s="492" t="str">
        <f aca="true">IF(Build!AC617,OFFSET(Spells!AC$2,Build!AC617,0),"")</f>
        <v/>
      </c>
      <c r="X5" s="492"/>
      <c r="Y5" s="492"/>
      <c r="Z5" s="514" t="str">
        <f aca="false">Build!AI617</f>
        <v>Effect</v>
      </c>
      <c r="AA5" s="514"/>
      <c r="AB5" s="514"/>
      <c r="AC5" s="495" t="e">
        <f aca="false">IF(Z5&lt;&gt;"",VLOOKUP(LEFT(Z5,FIND("+",Z5&amp;"+")-1),Build!X$596:Y$603,2,0)+IF(LEN(Z5)&gt;2,MID(Z5,FIND("+",Z5&amp;"+")+1,2),0),"")</f>
        <v>#N/A</v>
      </c>
      <c r="AD5" s="495"/>
      <c r="AE5" s="496" t="e">
        <f aca="true">IF(AC5&lt;&gt;"",OFFSET(ActionDice,AC5,0),"")</f>
        <v>#N/A</v>
      </c>
      <c r="AF5" s="496"/>
      <c r="AG5" s="496"/>
      <c r="AH5" s="496"/>
      <c r="AI5" s="496"/>
      <c r="AJ5" s="496"/>
      <c r="AK5" s="508" t="str">
        <f aca="true">IF(Build!AC617,OFFSET(Spells!AD$2,Build!AC617,0),"")</f>
        <v/>
      </c>
      <c r="AL5" s="508"/>
      <c r="AM5" s="508"/>
    </row>
    <row r="6" customFormat="false" ht="11.1" hidden="false" customHeight="true" outlineLevel="0" collapsed="false">
      <c r="A6" s="389"/>
      <c r="B6" s="389"/>
      <c r="C6" s="515" t="str">
        <f aca="true">IF(Build!AC618,OFFSET(Spells!V$2,Build!AC618,0),"")</f>
        <v/>
      </c>
      <c r="D6" s="515"/>
      <c r="E6" s="515"/>
      <c r="F6" s="515"/>
      <c r="G6" s="515"/>
      <c r="H6" s="515"/>
      <c r="I6" s="515"/>
      <c r="J6" s="515"/>
      <c r="K6" s="515"/>
      <c r="L6" s="354" t="str">
        <f aca="true">IF(Build!AC618,OFFSET(Spells!W$2,Build!AC618,0),"")</f>
        <v/>
      </c>
      <c r="M6" s="354"/>
      <c r="N6" s="354" t="str">
        <f aca="true">IF(Build!AC618,OFFSET(Spells!X$2,Build!AC618,0),"")</f>
        <v/>
      </c>
      <c r="O6" s="354"/>
      <c r="P6" s="354" t="str">
        <f aca="true">IF(Build!AC618,OFFSET(Spells!Y$2,Build!AC618,0),"")</f>
        <v/>
      </c>
      <c r="Q6" s="354"/>
      <c r="R6" s="354" t="str">
        <f aca="true">IF(Build!AC618,OFFSET(Spells!Z$2,Build!AC618,0),"")</f>
        <v/>
      </c>
      <c r="S6" s="354"/>
      <c r="T6" s="354" t="str">
        <f aca="true">IF(Build!AC618,OFFSET(Spells!AA$2,Build!AC618,0),"")</f>
        <v/>
      </c>
      <c r="U6" s="354"/>
      <c r="V6" s="354"/>
      <c r="W6" s="354" t="str">
        <f aca="true">IF(Build!AC618,OFFSET(Spells!AC$2,Build!AC618,0),"")</f>
        <v/>
      </c>
      <c r="X6" s="354"/>
      <c r="Y6" s="354"/>
      <c r="Z6" s="514" t="str">
        <f aca="false">Build!AI618</f>
        <v>Effect</v>
      </c>
      <c r="AA6" s="514"/>
      <c r="AB6" s="514"/>
      <c r="AC6" s="516" t="e">
        <f aca="false">IF(Z6&lt;&gt;"",VLOOKUP(LEFT(Z6,FIND("+",Z6&amp;"+")-1),Build!X$596:Y$603,2,0)+IF(LEN(Z6)&gt;2,MID(Z6,FIND("+",Z6&amp;"+")+1,2),0),"")</f>
        <v>#N/A</v>
      </c>
      <c r="AD6" s="516"/>
      <c r="AE6" s="517" t="e">
        <f aca="true">IF(AC6&lt;&gt;"",OFFSET(ActionDice,AC6,0),"")</f>
        <v>#N/A</v>
      </c>
      <c r="AF6" s="517"/>
      <c r="AG6" s="517"/>
      <c r="AH6" s="517"/>
      <c r="AI6" s="517"/>
      <c r="AJ6" s="517"/>
      <c r="AK6" s="508" t="str">
        <f aca="true">IF(Build!AC618,OFFSET(Spells!AD$2,Build!AC618,0),"")</f>
        <v/>
      </c>
      <c r="AL6" s="508"/>
      <c r="AM6" s="508"/>
    </row>
    <row r="7" customFormat="false" ht="11.1" hidden="false" customHeight="true" outlineLevel="0" collapsed="false">
      <c r="A7" s="389"/>
      <c r="B7" s="389"/>
      <c r="C7" s="515" t="str">
        <f aca="true">IF(Build!AC619,OFFSET(Spells!V$2,Build!AC619,0),"")</f>
        <v/>
      </c>
      <c r="D7" s="515"/>
      <c r="E7" s="515"/>
      <c r="F7" s="515"/>
      <c r="G7" s="515"/>
      <c r="H7" s="515"/>
      <c r="I7" s="515"/>
      <c r="J7" s="515"/>
      <c r="K7" s="515"/>
      <c r="L7" s="354" t="str">
        <f aca="true">IF(Build!AC619,OFFSET(Spells!W$2,Build!AC619,0),"")</f>
        <v/>
      </c>
      <c r="M7" s="354"/>
      <c r="N7" s="354" t="str">
        <f aca="true">IF(Build!AC619,OFFSET(Spells!X$2,Build!AC619,0),"")</f>
        <v/>
      </c>
      <c r="O7" s="354"/>
      <c r="P7" s="354" t="str">
        <f aca="true">IF(Build!AC619,OFFSET(Spells!Y$2,Build!AC619,0),"")</f>
        <v/>
      </c>
      <c r="Q7" s="354"/>
      <c r="R7" s="354" t="str">
        <f aca="true">IF(Build!AC619,OFFSET(Spells!Z$2,Build!AC619,0),"")</f>
        <v/>
      </c>
      <c r="S7" s="354"/>
      <c r="T7" s="354" t="str">
        <f aca="true">IF(Build!AC619,OFFSET(Spells!AA$2,Build!AC619,0),"")</f>
        <v/>
      </c>
      <c r="U7" s="354"/>
      <c r="V7" s="354"/>
      <c r="W7" s="354" t="str">
        <f aca="true">IF(Build!AC619,OFFSET(Spells!AC$2,Build!AC619,0),"")</f>
        <v/>
      </c>
      <c r="X7" s="354"/>
      <c r="Y7" s="354"/>
      <c r="Z7" s="514" t="str">
        <f aca="false">Build!AI619</f>
        <v>Effect</v>
      </c>
      <c r="AA7" s="514"/>
      <c r="AB7" s="514"/>
      <c r="AC7" s="516" t="e">
        <f aca="false">IF(Z7&lt;&gt;"",VLOOKUP(LEFT(Z7,FIND("+",Z7&amp;"+")-1),Build!X$596:Y$603,2,0)+IF(LEN(Z7)&gt;2,MID(Z7,FIND("+",Z7&amp;"+")+1,2),0),"")</f>
        <v>#N/A</v>
      </c>
      <c r="AD7" s="516"/>
      <c r="AE7" s="517" t="e">
        <f aca="true">IF(AC7&lt;&gt;"",OFFSET(ActionDice,AC7,0),"")</f>
        <v>#N/A</v>
      </c>
      <c r="AF7" s="517"/>
      <c r="AG7" s="517"/>
      <c r="AH7" s="517"/>
      <c r="AI7" s="517"/>
      <c r="AJ7" s="517"/>
      <c r="AK7" s="508" t="str">
        <f aca="true">IF(Build!AC619,OFFSET(Spells!AD$2,Build!AC619,0),"")</f>
        <v/>
      </c>
      <c r="AL7" s="508"/>
      <c r="AM7" s="508"/>
    </row>
    <row r="8" customFormat="false" ht="11.1" hidden="false" customHeight="true" outlineLevel="0" collapsed="false">
      <c r="A8" s="389"/>
      <c r="B8" s="389"/>
      <c r="C8" s="515" t="str">
        <f aca="true">IF(Build!AC620,OFFSET(Spells!V$2,Build!AC620,0),"")</f>
        <v/>
      </c>
      <c r="D8" s="515"/>
      <c r="E8" s="515"/>
      <c r="F8" s="515"/>
      <c r="G8" s="515"/>
      <c r="H8" s="515"/>
      <c r="I8" s="515"/>
      <c r="J8" s="515"/>
      <c r="K8" s="515"/>
      <c r="L8" s="354" t="str">
        <f aca="true">IF(Build!AC620,OFFSET(Spells!W$2,Build!AC620,0),"")</f>
        <v/>
      </c>
      <c r="M8" s="354"/>
      <c r="N8" s="354" t="str">
        <f aca="true">IF(Build!AC620,OFFSET(Spells!X$2,Build!AC620,0),"")</f>
        <v/>
      </c>
      <c r="O8" s="354"/>
      <c r="P8" s="354" t="str">
        <f aca="true">IF(Build!AC620,OFFSET(Spells!Y$2,Build!AC620,0),"")</f>
        <v/>
      </c>
      <c r="Q8" s="354"/>
      <c r="R8" s="354" t="str">
        <f aca="true">IF(Build!AC620,OFFSET(Spells!Z$2,Build!AC620,0),"")</f>
        <v/>
      </c>
      <c r="S8" s="354"/>
      <c r="T8" s="354" t="str">
        <f aca="true">IF(Build!AC620,OFFSET(Spells!AA$2,Build!AC620,0),"")</f>
        <v/>
      </c>
      <c r="U8" s="354"/>
      <c r="V8" s="354"/>
      <c r="W8" s="354" t="str">
        <f aca="true">IF(Build!AC620,OFFSET(Spells!AC$2,Build!AC620,0),"")</f>
        <v/>
      </c>
      <c r="X8" s="354"/>
      <c r="Y8" s="354"/>
      <c r="Z8" s="514" t="str">
        <f aca="false">Build!AI620</f>
        <v>Effect</v>
      </c>
      <c r="AA8" s="514"/>
      <c r="AB8" s="514"/>
      <c r="AC8" s="516" t="e">
        <f aca="false">IF(Z8&lt;&gt;"",VLOOKUP(LEFT(Z8,FIND("+",Z8&amp;"+")-1),Build!X$596:Y$603,2,0)+IF(LEN(Z8)&gt;2,MID(Z8,FIND("+",Z8&amp;"+")+1,2),0),"")</f>
        <v>#N/A</v>
      </c>
      <c r="AD8" s="516"/>
      <c r="AE8" s="517" t="e">
        <f aca="true">IF(AC8&lt;&gt;"",OFFSET(ActionDice,AC8,0),"")</f>
        <v>#N/A</v>
      </c>
      <c r="AF8" s="517"/>
      <c r="AG8" s="517"/>
      <c r="AH8" s="517"/>
      <c r="AI8" s="517"/>
      <c r="AJ8" s="517"/>
      <c r="AK8" s="508" t="str">
        <f aca="true">IF(Build!AC620,OFFSET(Spells!AD$2,Build!AC620,0),"")</f>
        <v/>
      </c>
      <c r="AL8" s="508"/>
      <c r="AM8" s="508"/>
    </row>
    <row r="9" customFormat="false" ht="11.1" hidden="false" customHeight="true" outlineLevel="0" collapsed="false">
      <c r="A9" s="389"/>
      <c r="B9" s="389"/>
      <c r="C9" s="515" t="str">
        <f aca="true">IF(Build!AC621,OFFSET(Spells!V$2,Build!AC621,0),"")</f>
        <v/>
      </c>
      <c r="D9" s="515"/>
      <c r="E9" s="515"/>
      <c r="F9" s="515"/>
      <c r="G9" s="515"/>
      <c r="H9" s="515"/>
      <c r="I9" s="515"/>
      <c r="J9" s="515"/>
      <c r="K9" s="515"/>
      <c r="L9" s="354" t="str">
        <f aca="true">IF(Build!AC621,OFFSET(Spells!W$2,Build!AC621,0),"")</f>
        <v/>
      </c>
      <c r="M9" s="354"/>
      <c r="N9" s="354" t="str">
        <f aca="true">IF(Build!AC621,OFFSET(Spells!X$2,Build!AC621,0),"")</f>
        <v/>
      </c>
      <c r="O9" s="354"/>
      <c r="P9" s="354" t="str">
        <f aca="true">IF(Build!AC621,OFFSET(Spells!Y$2,Build!AC621,0),"")</f>
        <v/>
      </c>
      <c r="Q9" s="354"/>
      <c r="R9" s="354" t="str">
        <f aca="true">IF(Build!AC621,OFFSET(Spells!Z$2,Build!AC621,0),"")</f>
        <v/>
      </c>
      <c r="S9" s="354"/>
      <c r="T9" s="354" t="str">
        <f aca="true">IF(Build!AC621,OFFSET(Spells!AA$2,Build!AC621,0),"")</f>
        <v/>
      </c>
      <c r="U9" s="354"/>
      <c r="V9" s="354"/>
      <c r="W9" s="354" t="str">
        <f aca="true">IF(Build!AC621,OFFSET(Spells!AC$2,Build!AC621,0),"")</f>
        <v/>
      </c>
      <c r="X9" s="354"/>
      <c r="Y9" s="354"/>
      <c r="Z9" s="514" t="str">
        <f aca="false">Build!AI621</f>
        <v>Effect</v>
      </c>
      <c r="AA9" s="514"/>
      <c r="AB9" s="514"/>
      <c r="AC9" s="516" t="e">
        <f aca="false">IF(Z9&lt;&gt;"",VLOOKUP(LEFT(Z9,FIND("+",Z9&amp;"+")-1),Build!X$596:Y$603,2,0)+IF(LEN(Z9)&gt;2,MID(Z9,FIND("+",Z9&amp;"+")+1,2),0),"")</f>
        <v>#N/A</v>
      </c>
      <c r="AD9" s="516"/>
      <c r="AE9" s="517" t="e">
        <f aca="true">IF(AC9&lt;&gt;"",OFFSET(ActionDice,AC9,0),"")</f>
        <v>#N/A</v>
      </c>
      <c r="AF9" s="517"/>
      <c r="AG9" s="517"/>
      <c r="AH9" s="517"/>
      <c r="AI9" s="517"/>
      <c r="AJ9" s="517"/>
      <c r="AK9" s="508" t="str">
        <f aca="true">IF(Build!AC621,OFFSET(Spells!AD$2,Build!AC621,0),"")</f>
        <v/>
      </c>
      <c r="AL9" s="508"/>
      <c r="AM9" s="508"/>
    </row>
    <row r="10" customFormat="false" ht="11.1" hidden="false" customHeight="true" outlineLevel="0" collapsed="false">
      <c r="A10" s="389"/>
      <c r="B10" s="389"/>
      <c r="C10" s="515" t="str">
        <f aca="true">IF(Build!AC622,OFFSET(Spells!V$2,Build!AC622,0),"")</f>
        <v/>
      </c>
      <c r="D10" s="515"/>
      <c r="E10" s="515"/>
      <c r="F10" s="515"/>
      <c r="G10" s="515"/>
      <c r="H10" s="515"/>
      <c r="I10" s="515"/>
      <c r="J10" s="515"/>
      <c r="K10" s="515"/>
      <c r="L10" s="354" t="str">
        <f aca="true">IF(Build!AC622,OFFSET(Spells!W$2,Build!AC622,0),"")</f>
        <v/>
      </c>
      <c r="M10" s="354"/>
      <c r="N10" s="354" t="str">
        <f aca="true">IF(Build!AC622,OFFSET(Spells!X$2,Build!AC622,0),"")</f>
        <v/>
      </c>
      <c r="O10" s="354"/>
      <c r="P10" s="354" t="str">
        <f aca="true">IF(Build!AC622,OFFSET(Spells!Y$2,Build!AC622,0),"")</f>
        <v/>
      </c>
      <c r="Q10" s="354"/>
      <c r="R10" s="354" t="str">
        <f aca="true">IF(Build!AC622,OFFSET(Spells!Z$2,Build!AC622,0),"")</f>
        <v/>
      </c>
      <c r="S10" s="354"/>
      <c r="T10" s="354" t="str">
        <f aca="true">IF(Build!AC622,OFFSET(Spells!AA$2,Build!AC622,0),"")</f>
        <v/>
      </c>
      <c r="U10" s="354"/>
      <c r="V10" s="354"/>
      <c r="W10" s="354" t="str">
        <f aca="true">IF(Build!AC622,OFFSET(Spells!AC$2,Build!AC622,0),"")</f>
        <v/>
      </c>
      <c r="X10" s="354"/>
      <c r="Y10" s="354"/>
      <c r="Z10" s="514" t="str">
        <f aca="false">Build!AI622</f>
        <v>Effect</v>
      </c>
      <c r="AA10" s="514"/>
      <c r="AB10" s="514"/>
      <c r="AC10" s="516" t="e">
        <f aca="false">IF(Z10&lt;&gt;"",VLOOKUP(LEFT(Z10,FIND("+",Z10&amp;"+")-1),Build!X$596:Y$603,2,0)+IF(LEN(Z10)&gt;2,MID(Z10,FIND("+",Z10&amp;"+")+1,2),0),"")</f>
        <v>#N/A</v>
      </c>
      <c r="AD10" s="516"/>
      <c r="AE10" s="517" t="e">
        <f aca="true">IF(AC10&lt;&gt;"",OFFSET(ActionDice,AC10,0),"")</f>
        <v>#N/A</v>
      </c>
      <c r="AF10" s="517"/>
      <c r="AG10" s="517"/>
      <c r="AH10" s="517"/>
      <c r="AI10" s="517"/>
      <c r="AJ10" s="517"/>
      <c r="AK10" s="508" t="str">
        <f aca="true">IF(Build!AC622,OFFSET(Spells!AD$2,Build!AC622,0),"")</f>
        <v/>
      </c>
      <c r="AL10" s="508"/>
      <c r="AM10" s="508"/>
    </row>
    <row r="11" customFormat="false" ht="11.1" hidden="false" customHeight="true" outlineLevel="0" collapsed="false">
      <c r="A11" s="389"/>
      <c r="B11" s="389"/>
      <c r="C11" s="515" t="str">
        <f aca="true">IF(Build!AC623,OFFSET(Spells!V$2,Build!AC623,0),"")</f>
        <v/>
      </c>
      <c r="D11" s="515"/>
      <c r="E11" s="515"/>
      <c r="F11" s="515"/>
      <c r="G11" s="515"/>
      <c r="H11" s="515"/>
      <c r="I11" s="515"/>
      <c r="J11" s="515"/>
      <c r="K11" s="515"/>
      <c r="L11" s="354" t="str">
        <f aca="true">IF(Build!AC623,OFFSET(Spells!W$2,Build!AC623,0),"")</f>
        <v/>
      </c>
      <c r="M11" s="354"/>
      <c r="N11" s="354" t="str">
        <f aca="true">IF(Build!AC623,OFFSET(Spells!X$2,Build!AC623,0),"")</f>
        <v/>
      </c>
      <c r="O11" s="354"/>
      <c r="P11" s="354" t="str">
        <f aca="true">IF(Build!AC623,OFFSET(Spells!Y$2,Build!AC623,0),"")</f>
        <v/>
      </c>
      <c r="Q11" s="354"/>
      <c r="R11" s="354" t="str">
        <f aca="true">IF(Build!AC623,OFFSET(Spells!Z$2,Build!AC623,0),"")</f>
        <v/>
      </c>
      <c r="S11" s="354"/>
      <c r="T11" s="354" t="str">
        <f aca="true">IF(Build!AC623,OFFSET(Spells!AA$2,Build!AC623,0),"")</f>
        <v/>
      </c>
      <c r="U11" s="354"/>
      <c r="V11" s="354"/>
      <c r="W11" s="354" t="str">
        <f aca="true">IF(Build!AC623,OFFSET(Spells!AC$2,Build!AC623,0),"")</f>
        <v/>
      </c>
      <c r="X11" s="354"/>
      <c r="Y11" s="354"/>
      <c r="Z11" s="514" t="str">
        <f aca="false">Build!AI623</f>
        <v>Effect</v>
      </c>
      <c r="AA11" s="514"/>
      <c r="AB11" s="514"/>
      <c r="AC11" s="516" t="e">
        <f aca="false">IF(Z11&lt;&gt;"",VLOOKUP(LEFT(Z11,FIND("+",Z11&amp;"+")-1),Build!X$596:Y$603,2,0)+IF(LEN(Z11)&gt;2,MID(Z11,FIND("+",Z11&amp;"+")+1,2),0),"")</f>
        <v>#N/A</v>
      </c>
      <c r="AD11" s="516"/>
      <c r="AE11" s="517" t="e">
        <f aca="true">IF(AC11&lt;&gt;"",OFFSET(ActionDice,AC11,0),"")</f>
        <v>#N/A</v>
      </c>
      <c r="AF11" s="517"/>
      <c r="AG11" s="517"/>
      <c r="AH11" s="517"/>
      <c r="AI11" s="517"/>
      <c r="AJ11" s="517"/>
      <c r="AK11" s="508" t="str">
        <f aca="true">IF(Build!AC623,OFFSET(Spells!AD$2,Build!AC623,0),"")</f>
        <v/>
      </c>
      <c r="AL11" s="508"/>
      <c r="AM11" s="508"/>
    </row>
    <row r="12" customFormat="false" ht="11.1" hidden="false" customHeight="true" outlineLevel="0" collapsed="false">
      <c r="A12" s="389"/>
      <c r="B12" s="389"/>
      <c r="C12" s="515" t="str">
        <f aca="true">IF(Build!AC624,OFFSET(Spells!V$2,Build!AC624,0),"")</f>
        <v/>
      </c>
      <c r="D12" s="515"/>
      <c r="E12" s="515"/>
      <c r="F12" s="515"/>
      <c r="G12" s="515"/>
      <c r="H12" s="515"/>
      <c r="I12" s="515"/>
      <c r="J12" s="515"/>
      <c r="K12" s="515"/>
      <c r="L12" s="354" t="str">
        <f aca="true">IF(Build!AC624,OFFSET(Spells!W$2,Build!AC624,0),"")</f>
        <v/>
      </c>
      <c r="M12" s="354"/>
      <c r="N12" s="354" t="str">
        <f aca="true">IF(Build!AC624,OFFSET(Spells!X$2,Build!AC624,0),"")</f>
        <v/>
      </c>
      <c r="O12" s="354"/>
      <c r="P12" s="354" t="str">
        <f aca="true">IF(Build!AC624,OFFSET(Spells!Y$2,Build!AC624,0),"")</f>
        <v/>
      </c>
      <c r="Q12" s="354"/>
      <c r="R12" s="354" t="str">
        <f aca="true">IF(Build!AC624,OFFSET(Spells!Z$2,Build!AC624,0),"")</f>
        <v/>
      </c>
      <c r="S12" s="354"/>
      <c r="T12" s="354" t="str">
        <f aca="true">IF(Build!AC624,OFFSET(Spells!AA$2,Build!AC624,0),"")</f>
        <v/>
      </c>
      <c r="U12" s="354"/>
      <c r="V12" s="354"/>
      <c r="W12" s="354" t="str">
        <f aca="true">IF(Build!AC624,OFFSET(Spells!AC$2,Build!AC624,0),"")</f>
        <v/>
      </c>
      <c r="X12" s="354"/>
      <c r="Y12" s="354"/>
      <c r="Z12" s="514" t="str">
        <f aca="false">Build!AI624</f>
        <v>Effect</v>
      </c>
      <c r="AA12" s="514"/>
      <c r="AB12" s="514"/>
      <c r="AC12" s="516" t="e">
        <f aca="false">IF(Z12&lt;&gt;"",VLOOKUP(LEFT(Z12,FIND("+",Z12&amp;"+")-1),Build!X$596:Y$603,2,0)+IF(LEN(Z12)&gt;2,MID(Z12,FIND("+",Z12&amp;"+")+1,2),0),"")</f>
        <v>#N/A</v>
      </c>
      <c r="AD12" s="516"/>
      <c r="AE12" s="517" t="e">
        <f aca="true">IF(AC12&lt;&gt;"",OFFSET(ActionDice,AC12,0),"")</f>
        <v>#N/A</v>
      </c>
      <c r="AF12" s="517"/>
      <c r="AG12" s="517"/>
      <c r="AH12" s="517"/>
      <c r="AI12" s="517"/>
      <c r="AJ12" s="517"/>
      <c r="AK12" s="508" t="str">
        <f aca="true">IF(Build!AC624,OFFSET(Spells!AD$2,Build!AC624,0),"")</f>
        <v/>
      </c>
      <c r="AL12" s="508"/>
      <c r="AM12" s="508"/>
    </row>
    <row r="13" customFormat="false" ht="11.1" hidden="false" customHeight="true" outlineLevel="0" collapsed="false">
      <c r="A13" s="389"/>
      <c r="B13" s="389"/>
      <c r="C13" s="515" t="str">
        <f aca="true">IF(Build!AC625,OFFSET(Spells!V$2,Build!AC625,0),"")</f>
        <v/>
      </c>
      <c r="D13" s="515"/>
      <c r="E13" s="515"/>
      <c r="F13" s="515"/>
      <c r="G13" s="515"/>
      <c r="H13" s="515"/>
      <c r="I13" s="515"/>
      <c r="J13" s="515"/>
      <c r="K13" s="515"/>
      <c r="L13" s="354" t="str">
        <f aca="true">IF(Build!AC625,OFFSET(Spells!W$2,Build!AC625,0),"")</f>
        <v/>
      </c>
      <c r="M13" s="354"/>
      <c r="N13" s="354" t="str">
        <f aca="true">IF(Build!AC625,OFFSET(Spells!X$2,Build!AC625,0),"")</f>
        <v/>
      </c>
      <c r="O13" s="354"/>
      <c r="P13" s="354" t="str">
        <f aca="true">IF(Build!AC625,OFFSET(Spells!Y$2,Build!AC625,0),"")</f>
        <v/>
      </c>
      <c r="Q13" s="354"/>
      <c r="R13" s="354" t="str">
        <f aca="true">IF(Build!AC625,OFFSET(Spells!Z$2,Build!AC625,0),"")</f>
        <v/>
      </c>
      <c r="S13" s="354"/>
      <c r="T13" s="354" t="str">
        <f aca="true">IF(Build!AC625,OFFSET(Spells!AA$2,Build!AC625,0),"")</f>
        <v/>
      </c>
      <c r="U13" s="354"/>
      <c r="V13" s="354"/>
      <c r="W13" s="354" t="str">
        <f aca="true">IF(Build!AC625,OFFSET(Spells!AC$2,Build!AC625,0),"")</f>
        <v/>
      </c>
      <c r="X13" s="354"/>
      <c r="Y13" s="354"/>
      <c r="Z13" s="514" t="str">
        <f aca="false">Build!AI625</f>
        <v>Effect</v>
      </c>
      <c r="AA13" s="514"/>
      <c r="AB13" s="514"/>
      <c r="AC13" s="516" t="e">
        <f aca="false">IF(Z13&lt;&gt;"",VLOOKUP(LEFT(Z13,FIND("+",Z13&amp;"+")-1),Build!X$596:Y$603,2,0)+IF(LEN(Z13)&gt;2,MID(Z13,FIND("+",Z13&amp;"+")+1,2),0),"")</f>
        <v>#N/A</v>
      </c>
      <c r="AD13" s="516"/>
      <c r="AE13" s="517" t="e">
        <f aca="true">IF(AC13&lt;&gt;"",OFFSET(ActionDice,AC13,0),"")</f>
        <v>#N/A</v>
      </c>
      <c r="AF13" s="517"/>
      <c r="AG13" s="517"/>
      <c r="AH13" s="517"/>
      <c r="AI13" s="517"/>
      <c r="AJ13" s="517"/>
      <c r="AK13" s="508" t="str">
        <f aca="true">IF(Build!AC625,OFFSET(Spells!AD$2,Build!AC625,0),"")</f>
        <v/>
      </c>
      <c r="AL13" s="508"/>
      <c r="AM13" s="508"/>
    </row>
    <row r="14" customFormat="false" ht="11.1" hidden="false" customHeight="true" outlineLevel="0" collapsed="false">
      <c r="A14" s="389"/>
      <c r="B14" s="389"/>
      <c r="C14" s="515" t="str">
        <f aca="true">IF(Build!AC626,OFFSET(Spells!V$2,Build!AC626,0),"")</f>
        <v/>
      </c>
      <c r="D14" s="515"/>
      <c r="E14" s="515"/>
      <c r="F14" s="515"/>
      <c r="G14" s="515"/>
      <c r="H14" s="515"/>
      <c r="I14" s="515"/>
      <c r="J14" s="515"/>
      <c r="K14" s="515"/>
      <c r="L14" s="354" t="str">
        <f aca="true">IF(Build!AC626,OFFSET(Spells!W$2,Build!AC626,0),"")</f>
        <v/>
      </c>
      <c r="M14" s="354"/>
      <c r="N14" s="354" t="str">
        <f aca="true">IF(Build!AC626,OFFSET(Spells!X$2,Build!AC626,0),"")</f>
        <v/>
      </c>
      <c r="O14" s="354"/>
      <c r="P14" s="354" t="str">
        <f aca="true">IF(Build!AC626,OFFSET(Spells!Y$2,Build!AC626,0),"")</f>
        <v/>
      </c>
      <c r="Q14" s="354"/>
      <c r="R14" s="354" t="str">
        <f aca="true">IF(Build!AC626,OFFSET(Spells!Z$2,Build!AC626,0),"")</f>
        <v/>
      </c>
      <c r="S14" s="354"/>
      <c r="T14" s="354" t="str">
        <f aca="true">IF(Build!AC626,OFFSET(Spells!AA$2,Build!AC626,0),"")</f>
        <v/>
      </c>
      <c r="U14" s="354"/>
      <c r="V14" s="354"/>
      <c r="W14" s="354" t="str">
        <f aca="true">IF(Build!AC626,OFFSET(Spells!AC$2,Build!AC626,0),"")</f>
        <v/>
      </c>
      <c r="X14" s="354"/>
      <c r="Y14" s="354"/>
      <c r="Z14" s="514" t="str">
        <f aca="false">Build!AI626</f>
        <v>Effect</v>
      </c>
      <c r="AA14" s="514"/>
      <c r="AB14" s="514"/>
      <c r="AC14" s="516" t="e">
        <f aca="false">IF(Z14&lt;&gt;"",VLOOKUP(LEFT(Z14,FIND("+",Z14&amp;"+")-1),Build!X$596:Y$603,2,0)+IF(LEN(Z14)&gt;2,MID(Z14,FIND("+",Z14&amp;"+")+1,2),0),"")</f>
        <v>#N/A</v>
      </c>
      <c r="AD14" s="516"/>
      <c r="AE14" s="517" t="e">
        <f aca="true">IF(AC14&lt;&gt;"",OFFSET(ActionDice,AC14,0),"")</f>
        <v>#N/A</v>
      </c>
      <c r="AF14" s="517"/>
      <c r="AG14" s="517"/>
      <c r="AH14" s="517"/>
      <c r="AI14" s="517"/>
      <c r="AJ14" s="517"/>
      <c r="AK14" s="508" t="str">
        <f aca="true">IF(Build!AC626,OFFSET(Spells!AD$2,Build!AC626,0),"")</f>
        <v/>
      </c>
      <c r="AL14" s="508"/>
      <c r="AM14" s="508"/>
    </row>
    <row r="15" customFormat="false" ht="11.1" hidden="false" customHeight="true" outlineLevel="0" collapsed="false">
      <c r="A15" s="389"/>
      <c r="B15" s="389"/>
      <c r="C15" s="515" t="str">
        <f aca="true">IF(Build!AC627,OFFSET(Spells!V$2,Build!AC627,0),"")</f>
        <v/>
      </c>
      <c r="D15" s="515"/>
      <c r="E15" s="515"/>
      <c r="F15" s="515"/>
      <c r="G15" s="515"/>
      <c r="H15" s="515"/>
      <c r="I15" s="515"/>
      <c r="J15" s="515"/>
      <c r="K15" s="515"/>
      <c r="L15" s="354" t="str">
        <f aca="true">IF(Build!AC627,OFFSET(Spells!W$2,Build!AC627,0),"")</f>
        <v/>
      </c>
      <c r="M15" s="354"/>
      <c r="N15" s="354" t="str">
        <f aca="true">IF(Build!AC627,OFFSET(Spells!X$2,Build!AC627,0),"")</f>
        <v/>
      </c>
      <c r="O15" s="354"/>
      <c r="P15" s="354" t="str">
        <f aca="true">IF(Build!AC627,OFFSET(Spells!Y$2,Build!AC627,0),"")</f>
        <v/>
      </c>
      <c r="Q15" s="354"/>
      <c r="R15" s="354" t="str">
        <f aca="true">IF(Build!AC627,OFFSET(Spells!Z$2,Build!AC627,0),"")</f>
        <v/>
      </c>
      <c r="S15" s="354"/>
      <c r="T15" s="354" t="str">
        <f aca="true">IF(Build!AC627,OFFSET(Spells!AA$2,Build!AC627,0),"")</f>
        <v/>
      </c>
      <c r="U15" s="354"/>
      <c r="V15" s="354"/>
      <c r="W15" s="354" t="str">
        <f aca="true">IF(Build!AC627,OFFSET(Spells!AC$2,Build!AC627,0),"")</f>
        <v/>
      </c>
      <c r="X15" s="354"/>
      <c r="Y15" s="354"/>
      <c r="Z15" s="514" t="str">
        <f aca="false">Build!AI627</f>
        <v>Effect</v>
      </c>
      <c r="AA15" s="514"/>
      <c r="AB15" s="514"/>
      <c r="AC15" s="516" t="e">
        <f aca="false">IF(Z15&lt;&gt;"",VLOOKUP(LEFT(Z15,FIND("+",Z15&amp;"+")-1),Build!X$596:Y$603,2,0)+IF(LEN(Z15)&gt;2,MID(Z15,FIND("+",Z15&amp;"+")+1,2),0),"")</f>
        <v>#N/A</v>
      </c>
      <c r="AD15" s="516"/>
      <c r="AE15" s="517" t="e">
        <f aca="true">IF(AC15&lt;&gt;"",OFFSET(ActionDice,AC15,0),"")</f>
        <v>#N/A</v>
      </c>
      <c r="AF15" s="517"/>
      <c r="AG15" s="517"/>
      <c r="AH15" s="517"/>
      <c r="AI15" s="517"/>
      <c r="AJ15" s="517"/>
      <c r="AK15" s="508" t="str">
        <f aca="true">IF(Build!AC627,OFFSET(Spells!AD$2,Build!AC627,0),"")</f>
        <v/>
      </c>
      <c r="AL15" s="508"/>
      <c r="AM15" s="508"/>
    </row>
    <row r="16" customFormat="false" ht="11.1" hidden="false" customHeight="true" outlineLevel="0" collapsed="false">
      <c r="A16" s="389"/>
      <c r="B16" s="389"/>
      <c r="C16" s="515" t="str">
        <f aca="true">IF(Build!AC628,OFFSET(Spells!V$2,Build!AC628,0),"")</f>
        <v/>
      </c>
      <c r="D16" s="515"/>
      <c r="E16" s="515"/>
      <c r="F16" s="515"/>
      <c r="G16" s="515"/>
      <c r="H16" s="515"/>
      <c r="I16" s="515"/>
      <c r="J16" s="515"/>
      <c r="K16" s="515"/>
      <c r="L16" s="354" t="str">
        <f aca="true">IF(Build!AC628,OFFSET(Spells!W$2,Build!AC628,0),"")</f>
        <v/>
      </c>
      <c r="M16" s="354"/>
      <c r="N16" s="354" t="str">
        <f aca="true">IF(Build!AC628,OFFSET(Spells!X$2,Build!AC628,0),"")</f>
        <v/>
      </c>
      <c r="O16" s="354"/>
      <c r="P16" s="354" t="str">
        <f aca="true">IF(Build!AC628,OFFSET(Spells!Y$2,Build!AC628,0),"")</f>
        <v/>
      </c>
      <c r="Q16" s="354"/>
      <c r="R16" s="354" t="str">
        <f aca="true">IF(Build!AC628,OFFSET(Spells!Z$2,Build!AC628,0),"")</f>
        <v/>
      </c>
      <c r="S16" s="354"/>
      <c r="T16" s="354" t="str">
        <f aca="true">IF(Build!AC628,OFFSET(Spells!AA$2,Build!AC628,0),"")</f>
        <v/>
      </c>
      <c r="U16" s="354"/>
      <c r="V16" s="354"/>
      <c r="W16" s="354" t="str">
        <f aca="true">IF(Build!AC628,OFFSET(Spells!AC$2,Build!AC628,0),"")</f>
        <v/>
      </c>
      <c r="X16" s="354"/>
      <c r="Y16" s="354"/>
      <c r="Z16" s="514" t="str">
        <f aca="false">Build!AI628</f>
        <v>Effect</v>
      </c>
      <c r="AA16" s="514"/>
      <c r="AB16" s="514"/>
      <c r="AC16" s="516" t="e">
        <f aca="false">IF(Z16&lt;&gt;"",VLOOKUP(LEFT(Z16,FIND("+",Z16&amp;"+")-1),Build!X$596:Y$603,2,0)+IF(LEN(Z16)&gt;2,MID(Z16,FIND("+",Z16&amp;"+")+1,2),0),"")</f>
        <v>#N/A</v>
      </c>
      <c r="AD16" s="516"/>
      <c r="AE16" s="517" t="e">
        <f aca="true">IF(AC16&lt;&gt;"",OFFSET(ActionDice,AC16,0),"")</f>
        <v>#N/A</v>
      </c>
      <c r="AF16" s="517"/>
      <c r="AG16" s="517"/>
      <c r="AH16" s="517"/>
      <c r="AI16" s="517"/>
      <c r="AJ16" s="517"/>
      <c r="AK16" s="508" t="str">
        <f aca="true">IF(Build!AC628,OFFSET(Spells!AD$2,Build!AC628,0),"")</f>
        <v/>
      </c>
      <c r="AL16" s="508"/>
      <c r="AM16" s="508"/>
    </row>
    <row r="17" customFormat="false" ht="11.1" hidden="false" customHeight="true" outlineLevel="0" collapsed="false">
      <c r="A17" s="389"/>
      <c r="B17" s="389"/>
      <c r="C17" s="515" t="str">
        <f aca="true">IF(Build!AC629,OFFSET(Spells!V$2,Build!AC629,0),"")</f>
        <v/>
      </c>
      <c r="D17" s="515"/>
      <c r="E17" s="515"/>
      <c r="F17" s="515"/>
      <c r="G17" s="515"/>
      <c r="H17" s="515"/>
      <c r="I17" s="515"/>
      <c r="J17" s="515"/>
      <c r="K17" s="515"/>
      <c r="L17" s="354" t="str">
        <f aca="true">IF(Build!AC629,OFFSET(Spells!W$2,Build!AC629,0),"")</f>
        <v/>
      </c>
      <c r="M17" s="354"/>
      <c r="N17" s="354" t="str">
        <f aca="true">IF(Build!AC629,OFFSET(Spells!X$2,Build!AC629,0),"")</f>
        <v/>
      </c>
      <c r="O17" s="354"/>
      <c r="P17" s="354" t="str">
        <f aca="true">IF(Build!AC629,OFFSET(Spells!Y$2,Build!AC629,0),"")</f>
        <v/>
      </c>
      <c r="Q17" s="354"/>
      <c r="R17" s="354" t="str">
        <f aca="true">IF(Build!AC629,OFFSET(Spells!Z$2,Build!AC629,0),"")</f>
        <v/>
      </c>
      <c r="S17" s="354"/>
      <c r="T17" s="354" t="str">
        <f aca="true">IF(Build!AC629,OFFSET(Spells!AA$2,Build!AC629,0),"")</f>
        <v/>
      </c>
      <c r="U17" s="354"/>
      <c r="V17" s="354"/>
      <c r="W17" s="354" t="str">
        <f aca="true">IF(Build!AC629,OFFSET(Spells!AC$2,Build!AC629,0),"")</f>
        <v/>
      </c>
      <c r="X17" s="354"/>
      <c r="Y17" s="354"/>
      <c r="Z17" s="514" t="str">
        <f aca="false">Build!AI629</f>
        <v>Effect</v>
      </c>
      <c r="AA17" s="514"/>
      <c r="AB17" s="514"/>
      <c r="AC17" s="516" t="e">
        <f aca="false">IF(Z17&lt;&gt;"",VLOOKUP(LEFT(Z17,FIND("+",Z17&amp;"+")-1),Build!X$596:Y$603,2,0)+IF(LEN(Z17)&gt;2,MID(Z17,FIND("+",Z17&amp;"+")+1,2),0),"")</f>
        <v>#N/A</v>
      </c>
      <c r="AD17" s="516"/>
      <c r="AE17" s="517" t="e">
        <f aca="true">IF(AC17&lt;&gt;"",OFFSET(ActionDice,AC17,0),"")</f>
        <v>#N/A</v>
      </c>
      <c r="AF17" s="517"/>
      <c r="AG17" s="517"/>
      <c r="AH17" s="517"/>
      <c r="AI17" s="517"/>
      <c r="AJ17" s="517"/>
      <c r="AK17" s="508" t="str">
        <f aca="true">IF(Build!AC629,OFFSET(Spells!AD$2,Build!AC629,0),"")</f>
        <v/>
      </c>
      <c r="AL17" s="508"/>
      <c r="AM17" s="508"/>
    </row>
    <row r="18" customFormat="false" ht="11.1" hidden="false" customHeight="true" outlineLevel="0" collapsed="false">
      <c r="A18" s="389"/>
      <c r="B18" s="389"/>
      <c r="C18" s="515" t="str">
        <f aca="true">IF(Build!AC630,OFFSET(Spells!V$2,Build!AC630,0),"")</f>
        <v/>
      </c>
      <c r="D18" s="515"/>
      <c r="E18" s="515"/>
      <c r="F18" s="515"/>
      <c r="G18" s="515"/>
      <c r="H18" s="515"/>
      <c r="I18" s="515"/>
      <c r="J18" s="515"/>
      <c r="K18" s="515"/>
      <c r="L18" s="354" t="str">
        <f aca="true">IF(Build!AC630,OFFSET(Spells!W$2,Build!AC630,0),"")</f>
        <v/>
      </c>
      <c r="M18" s="354"/>
      <c r="N18" s="354" t="str">
        <f aca="true">IF(Build!AC630,OFFSET(Spells!X$2,Build!AC630,0),"")</f>
        <v/>
      </c>
      <c r="O18" s="354"/>
      <c r="P18" s="354" t="str">
        <f aca="true">IF(Build!AC630,OFFSET(Spells!Y$2,Build!AC630,0),"")</f>
        <v/>
      </c>
      <c r="Q18" s="354"/>
      <c r="R18" s="354" t="str">
        <f aca="true">IF(Build!AC630,OFFSET(Spells!Z$2,Build!AC630,0),"")</f>
        <v/>
      </c>
      <c r="S18" s="354"/>
      <c r="T18" s="354" t="str">
        <f aca="true">IF(Build!AC630,OFFSET(Spells!AA$2,Build!AC630,0),"")</f>
        <v/>
      </c>
      <c r="U18" s="354"/>
      <c r="V18" s="354"/>
      <c r="W18" s="354" t="str">
        <f aca="true">IF(Build!AC630,OFFSET(Spells!AC$2,Build!AC630,0),"")</f>
        <v/>
      </c>
      <c r="X18" s="354"/>
      <c r="Y18" s="354"/>
      <c r="Z18" s="514" t="str">
        <f aca="false">Build!AI630</f>
        <v>Effect</v>
      </c>
      <c r="AA18" s="514"/>
      <c r="AB18" s="514"/>
      <c r="AC18" s="516" t="e">
        <f aca="false">IF(Z18&lt;&gt;"",VLOOKUP(LEFT(Z18,FIND("+",Z18&amp;"+")-1),Build!X$596:Y$603,2,0)+IF(LEN(Z18)&gt;2,MID(Z18,FIND("+",Z18&amp;"+")+1,2),0),"")</f>
        <v>#N/A</v>
      </c>
      <c r="AD18" s="516"/>
      <c r="AE18" s="517" t="e">
        <f aca="true">IF(AC18&lt;&gt;"",OFFSET(ActionDice,AC18,0),"")</f>
        <v>#N/A</v>
      </c>
      <c r="AF18" s="517"/>
      <c r="AG18" s="517"/>
      <c r="AH18" s="517"/>
      <c r="AI18" s="517"/>
      <c r="AJ18" s="517"/>
      <c r="AK18" s="508" t="str">
        <f aca="true">IF(Build!AC630,OFFSET(Spells!AD$2,Build!AC630,0),"")</f>
        <v/>
      </c>
      <c r="AL18" s="508"/>
      <c r="AM18" s="508"/>
    </row>
    <row r="19" customFormat="false" ht="11.1" hidden="false" customHeight="true" outlineLevel="0" collapsed="false">
      <c r="A19" s="389"/>
      <c r="B19" s="389"/>
      <c r="C19" s="515" t="str">
        <f aca="true">IF(Build!AC631,OFFSET(Spells!V$2,Build!AC631,0),"")</f>
        <v/>
      </c>
      <c r="D19" s="515"/>
      <c r="E19" s="515"/>
      <c r="F19" s="515"/>
      <c r="G19" s="515"/>
      <c r="H19" s="515"/>
      <c r="I19" s="515"/>
      <c r="J19" s="515"/>
      <c r="K19" s="515"/>
      <c r="L19" s="354" t="str">
        <f aca="true">IF(Build!AC631,OFFSET(Spells!W$2,Build!AC631,0),"")</f>
        <v/>
      </c>
      <c r="M19" s="354"/>
      <c r="N19" s="354" t="str">
        <f aca="true">IF(Build!AC631,OFFSET(Spells!X$2,Build!AC631,0),"")</f>
        <v/>
      </c>
      <c r="O19" s="354"/>
      <c r="P19" s="354" t="str">
        <f aca="true">IF(Build!AC631,OFFSET(Spells!Y$2,Build!AC631,0),"")</f>
        <v/>
      </c>
      <c r="Q19" s="354"/>
      <c r="R19" s="354" t="str">
        <f aca="true">IF(Build!AC631,OFFSET(Spells!Z$2,Build!AC631,0),"")</f>
        <v/>
      </c>
      <c r="S19" s="354"/>
      <c r="T19" s="354" t="str">
        <f aca="true">IF(Build!AC631,OFFSET(Spells!AA$2,Build!AC631,0),"")</f>
        <v/>
      </c>
      <c r="U19" s="354"/>
      <c r="V19" s="354"/>
      <c r="W19" s="354" t="str">
        <f aca="true">IF(Build!AC631,OFFSET(Spells!AC$2,Build!AC631,0),"")</f>
        <v/>
      </c>
      <c r="X19" s="354"/>
      <c r="Y19" s="354"/>
      <c r="Z19" s="514" t="str">
        <f aca="false">Build!AI631</f>
        <v>Effect</v>
      </c>
      <c r="AA19" s="514"/>
      <c r="AB19" s="514"/>
      <c r="AC19" s="516" t="e">
        <f aca="false">IF(Z19&lt;&gt;"",VLOOKUP(LEFT(Z19,FIND("+",Z19&amp;"+")-1),Build!X$596:Y$603,2,0)+IF(LEN(Z19)&gt;2,MID(Z19,FIND("+",Z19&amp;"+")+1,2),0),"")</f>
        <v>#N/A</v>
      </c>
      <c r="AD19" s="516"/>
      <c r="AE19" s="517" t="e">
        <f aca="true">IF(AC19&lt;&gt;"",OFFSET(ActionDice,AC19,0),"")</f>
        <v>#N/A</v>
      </c>
      <c r="AF19" s="517"/>
      <c r="AG19" s="517"/>
      <c r="AH19" s="517"/>
      <c r="AI19" s="517"/>
      <c r="AJ19" s="517"/>
      <c r="AK19" s="508" t="str">
        <f aca="true">IF(Build!AC631,OFFSET(Spells!AD$2,Build!AC631,0),"")</f>
        <v/>
      </c>
      <c r="AL19" s="508"/>
      <c r="AM19" s="508"/>
    </row>
    <row r="20" customFormat="false" ht="11.1" hidden="false" customHeight="true" outlineLevel="0" collapsed="false">
      <c r="A20" s="389"/>
      <c r="B20" s="389"/>
      <c r="C20" s="515" t="str">
        <f aca="true">IF(Build!AC632,OFFSET(Spells!V$2,Build!AC632,0),"")</f>
        <v/>
      </c>
      <c r="D20" s="515"/>
      <c r="E20" s="515"/>
      <c r="F20" s="515"/>
      <c r="G20" s="515"/>
      <c r="H20" s="515"/>
      <c r="I20" s="515"/>
      <c r="J20" s="515"/>
      <c r="K20" s="515"/>
      <c r="L20" s="354" t="str">
        <f aca="true">IF(Build!AC632,OFFSET(Spells!W$2,Build!AC632,0),"")</f>
        <v/>
      </c>
      <c r="M20" s="354"/>
      <c r="N20" s="354" t="str">
        <f aca="true">IF(Build!AC632,OFFSET(Spells!X$2,Build!AC632,0),"")</f>
        <v/>
      </c>
      <c r="O20" s="354"/>
      <c r="P20" s="354" t="str">
        <f aca="true">IF(Build!AC632,OFFSET(Spells!Y$2,Build!AC632,0),"")</f>
        <v/>
      </c>
      <c r="Q20" s="354"/>
      <c r="R20" s="354" t="str">
        <f aca="true">IF(Build!AC632,OFFSET(Spells!Z$2,Build!AC632,0),"")</f>
        <v/>
      </c>
      <c r="S20" s="354"/>
      <c r="T20" s="354" t="str">
        <f aca="true">IF(Build!AC632,OFFSET(Spells!AA$2,Build!AC632,0),"")</f>
        <v/>
      </c>
      <c r="U20" s="354"/>
      <c r="V20" s="354"/>
      <c r="W20" s="354" t="str">
        <f aca="true">IF(Build!AC632,OFFSET(Spells!AC$2,Build!AC632,0),"")</f>
        <v/>
      </c>
      <c r="X20" s="354"/>
      <c r="Y20" s="354"/>
      <c r="Z20" s="514" t="str">
        <f aca="false">Build!AI632</f>
        <v>Effect</v>
      </c>
      <c r="AA20" s="514"/>
      <c r="AB20" s="514"/>
      <c r="AC20" s="516" t="e">
        <f aca="false">IF(Z20&lt;&gt;"",VLOOKUP(LEFT(Z20,FIND("+",Z20&amp;"+")-1),Build!X$596:Y$603,2,0)+IF(LEN(Z20)&gt;2,MID(Z20,FIND("+",Z20&amp;"+")+1,2),0),"")</f>
        <v>#N/A</v>
      </c>
      <c r="AD20" s="516"/>
      <c r="AE20" s="517" t="e">
        <f aca="true">IF(AC20&lt;&gt;"",OFFSET(ActionDice,AC20,0),"")</f>
        <v>#N/A</v>
      </c>
      <c r="AF20" s="517"/>
      <c r="AG20" s="517"/>
      <c r="AH20" s="517"/>
      <c r="AI20" s="517"/>
      <c r="AJ20" s="517"/>
      <c r="AK20" s="508" t="str">
        <f aca="true">IF(Build!AC632,OFFSET(Spells!AD$2,Build!AC632,0),"")</f>
        <v/>
      </c>
      <c r="AL20" s="508"/>
      <c r="AM20" s="508"/>
    </row>
    <row r="21" customFormat="false" ht="11.1" hidden="false" customHeight="true" outlineLevel="0" collapsed="false">
      <c r="A21" s="389"/>
      <c r="B21" s="389"/>
      <c r="C21" s="515" t="str">
        <f aca="true">IF(Build!AC633,OFFSET(Spells!V$2,Build!AC633,0),"")</f>
        <v/>
      </c>
      <c r="D21" s="515"/>
      <c r="E21" s="515"/>
      <c r="F21" s="515"/>
      <c r="G21" s="515"/>
      <c r="H21" s="515"/>
      <c r="I21" s="515"/>
      <c r="J21" s="515"/>
      <c r="K21" s="515"/>
      <c r="L21" s="354" t="str">
        <f aca="true">IF(Build!AC633,OFFSET(Spells!W$2,Build!AC633,0),"")</f>
        <v/>
      </c>
      <c r="M21" s="354"/>
      <c r="N21" s="354" t="str">
        <f aca="true">IF(Build!AC633,OFFSET(Spells!X$2,Build!AC633,0),"")</f>
        <v/>
      </c>
      <c r="O21" s="354"/>
      <c r="P21" s="354" t="str">
        <f aca="true">IF(Build!AC633,OFFSET(Spells!Y$2,Build!AC633,0),"")</f>
        <v/>
      </c>
      <c r="Q21" s="354"/>
      <c r="R21" s="354" t="str">
        <f aca="true">IF(Build!AC633,OFFSET(Spells!Z$2,Build!AC633,0),"")</f>
        <v/>
      </c>
      <c r="S21" s="354"/>
      <c r="T21" s="354" t="str">
        <f aca="true">IF(Build!AC633,OFFSET(Spells!AA$2,Build!AC633,0),"")</f>
        <v/>
      </c>
      <c r="U21" s="354"/>
      <c r="V21" s="354"/>
      <c r="W21" s="354" t="str">
        <f aca="true">IF(Build!AC633,OFFSET(Spells!AC$2,Build!AC633,0),"")</f>
        <v/>
      </c>
      <c r="X21" s="354"/>
      <c r="Y21" s="354"/>
      <c r="Z21" s="514" t="str">
        <f aca="false">Build!AI633</f>
        <v>Effect</v>
      </c>
      <c r="AA21" s="514"/>
      <c r="AB21" s="514"/>
      <c r="AC21" s="516" t="e">
        <f aca="false">IF(Z21&lt;&gt;"",VLOOKUP(LEFT(Z21,FIND("+",Z21&amp;"+")-1),Build!X$596:Y$603,2,0)+IF(LEN(Z21)&gt;2,MID(Z21,FIND("+",Z21&amp;"+")+1,2),0),"")</f>
        <v>#N/A</v>
      </c>
      <c r="AD21" s="516"/>
      <c r="AE21" s="517" t="e">
        <f aca="true">IF(AC21&lt;&gt;"",OFFSET(ActionDice,AC21,0),"")</f>
        <v>#N/A</v>
      </c>
      <c r="AF21" s="517"/>
      <c r="AG21" s="517"/>
      <c r="AH21" s="517"/>
      <c r="AI21" s="517"/>
      <c r="AJ21" s="517"/>
      <c r="AK21" s="508" t="str">
        <f aca="true">IF(Build!AC633,OFFSET(Spells!AD$2,Build!AC633,0),"")</f>
        <v/>
      </c>
      <c r="AL21" s="508"/>
      <c r="AM21" s="508"/>
    </row>
    <row r="22" customFormat="false" ht="11.1" hidden="false" customHeight="true" outlineLevel="0" collapsed="false">
      <c r="A22" s="389"/>
      <c r="B22" s="389"/>
      <c r="C22" s="515" t="str">
        <f aca="true">IF(Build!AC634,OFFSET(Spells!V$2,Build!AC634,0),"")</f>
        <v/>
      </c>
      <c r="D22" s="515"/>
      <c r="E22" s="515"/>
      <c r="F22" s="515"/>
      <c r="G22" s="515"/>
      <c r="H22" s="515"/>
      <c r="I22" s="515"/>
      <c r="J22" s="515"/>
      <c r="K22" s="515"/>
      <c r="L22" s="354" t="str">
        <f aca="true">IF(Build!AC634,OFFSET(Spells!W$2,Build!AC634,0),"")</f>
        <v/>
      </c>
      <c r="M22" s="354"/>
      <c r="N22" s="354" t="str">
        <f aca="true">IF(Build!AC634,OFFSET(Spells!X$2,Build!AC634,0),"")</f>
        <v/>
      </c>
      <c r="O22" s="354"/>
      <c r="P22" s="354" t="str">
        <f aca="true">IF(Build!AC634,OFFSET(Spells!Y$2,Build!AC634,0),"")</f>
        <v/>
      </c>
      <c r="Q22" s="354"/>
      <c r="R22" s="354" t="str">
        <f aca="true">IF(Build!AC634,OFFSET(Spells!Z$2,Build!AC634,0),"")</f>
        <v/>
      </c>
      <c r="S22" s="354"/>
      <c r="T22" s="354" t="str">
        <f aca="true">IF(Build!AC634,OFFSET(Spells!AA$2,Build!AC634,0),"")</f>
        <v/>
      </c>
      <c r="U22" s="354"/>
      <c r="V22" s="354"/>
      <c r="W22" s="354" t="str">
        <f aca="true">IF(Build!AC634,OFFSET(Spells!AC$2,Build!AC634,0),"")</f>
        <v/>
      </c>
      <c r="X22" s="354"/>
      <c r="Y22" s="354"/>
      <c r="Z22" s="514" t="str">
        <f aca="false">Build!AI634</f>
        <v>Effect</v>
      </c>
      <c r="AA22" s="514"/>
      <c r="AB22" s="514"/>
      <c r="AC22" s="516" t="e">
        <f aca="false">IF(Z22&lt;&gt;"",VLOOKUP(LEFT(Z22,FIND("+",Z22&amp;"+")-1),Build!X$596:Y$603,2,0)+IF(LEN(Z22)&gt;2,MID(Z22,FIND("+",Z22&amp;"+")+1,2),0),"")</f>
        <v>#N/A</v>
      </c>
      <c r="AD22" s="516"/>
      <c r="AE22" s="517" t="e">
        <f aca="true">IF(AC22&lt;&gt;"",OFFSET(ActionDice,AC22,0),"")</f>
        <v>#N/A</v>
      </c>
      <c r="AF22" s="517"/>
      <c r="AG22" s="517"/>
      <c r="AH22" s="517"/>
      <c r="AI22" s="517"/>
      <c r="AJ22" s="517"/>
      <c r="AK22" s="508" t="str">
        <f aca="true">IF(Build!AC634,OFFSET(Spells!AD$2,Build!AC634,0),"")</f>
        <v/>
      </c>
      <c r="AL22" s="508"/>
      <c r="AM22" s="508"/>
    </row>
    <row r="23" customFormat="false" ht="11.1" hidden="false" customHeight="true" outlineLevel="0" collapsed="false">
      <c r="A23" s="389"/>
      <c r="B23" s="389"/>
      <c r="C23" s="515" t="str">
        <f aca="true">IF(Build!AC635,OFFSET(Spells!V$2,Build!AC635,0),"")</f>
        <v/>
      </c>
      <c r="D23" s="515"/>
      <c r="E23" s="515"/>
      <c r="F23" s="515"/>
      <c r="G23" s="515"/>
      <c r="H23" s="515"/>
      <c r="I23" s="515"/>
      <c r="J23" s="515"/>
      <c r="K23" s="515"/>
      <c r="L23" s="354" t="str">
        <f aca="true">IF(Build!AC635,OFFSET(Spells!W$2,Build!AC635,0),"")</f>
        <v/>
      </c>
      <c r="M23" s="354"/>
      <c r="N23" s="354" t="str">
        <f aca="true">IF(Build!AC635,OFFSET(Spells!X$2,Build!AC635,0),"")</f>
        <v/>
      </c>
      <c r="O23" s="354"/>
      <c r="P23" s="354" t="str">
        <f aca="true">IF(Build!AC635,OFFSET(Spells!Y$2,Build!AC635,0),"")</f>
        <v/>
      </c>
      <c r="Q23" s="354"/>
      <c r="R23" s="354" t="str">
        <f aca="true">IF(Build!AC635,OFFSET(Spells!Z$2,Build!AC635,0),"")</f>
        <v/>
      </c>
      <c r="S23" s="354"/>
      <c r="T23" s="354" t="str">
        <f aca="true">IF(Build!AC635,OFFSET(Spells!AA$2,Build!AC635,0),"")</f>
        <v/>
      </c>
      <c r="U23" s="354"/>
      <c r="V23" s="354"/>
      <c r="W23" s="354" t="str">
        <f aca="true">IF(Build!AC635,OFFSET(Spells!AC$2,Build!AC635,0),"")</f>
        <v/>
      </c>
      <c r="X23" s="354"/>
      <c r="Y23" s="354"/>
      <c r="Z23" s="514" t="str">
        <f aca="false">Build!AI635</f>
        <v>Effect</v>
      </c>
      <c r="AA23" s="514"/>
      <c r="AB23" s="514"/>
      <c r="AC23" s="516" t="e">
        <f aca="false">IF(Z23&lt;&gt;"",VLOOKUP(LEFT(Z23,FIND("+",Z23&amp;"+")-1),Build!X$596:Y$603,2,0)+IF(LEN(Z23)&gt;2,MID(Z23,FIND("+",Z23&amp;"+")+1,2),0),"")</f>
        <v>#N/A</v>
      </c>
      <c r="AD23" s="516"/>
      <c r="AE23" s="517" t="e">
        <f aca="true">IF(AC23&lt;&gt;"",OFFSET(ActionDice,AC23,0),"")</f>
        <v>#N/A</v>
      </c>
      <c r="AF23" s="517"/>
      <c r="AG23" s="517"/>
      <c r="AH23" s="517"/>
      <c r="AI23" s="517"/>
      <c r="AJ23" s="517"/>
      <c r="AK23" s="508" t="str">
        <f aca="true">IF(Build!AC635,OFFSET(Spells!AD$2,Build!AC635,0),"")</f>
        <v/>
      </c>
      <c r="AL23" s="508"/>
      <c r="AM23" s="508"/>
    </row>
    <row r="24" customFormat="false" ht="11.1" hidden="false" customHeight="true" outlineLevel="0" collapsed="false">
      <c r="A24" s="389"/>
      <c r="B24" s="389"/>
      <c r="C24" s="515" t="str">
        <f aca="true">IF(Build!AC636,OFFSET(Spells!V$2,Build!AC636,0),"")</f>
        <v/>
      </c>
      <c r="D24" s="515"/>
      <c r="E24" s="515"/>
      <c r="F24" s="515"/>
      <c r="G24" s="515"/>
      <c r="H24" s="515"/>
      <c r="I24" s="515"/>
      <c r="J24" s="515"/>
      <c r="K24" s="515"/>
      <c r="L24" s="354" t="str">
        <f aca="true">IF(Build!AC636,OFFSET(Spells!W$2,Build!AC636,0),"")</f>
        <v/>
      </c>
      <c r="M24" s="354"/>
      <c r="N24" s="354" t="str">
        <f aca="true">IF(Build!AC636,OFFSET(Spells!X$2,Build!AC636,0),"")</f>
        <v/>
      </c>
      <c r="O24" s="354"/>
      <c r="P24" s="354" t="str">
        <f aca="true">IF(Build!AC636,OFFSET(Spells!Y$2,Build!AC636,0),"")</f>
        <v/>
      </c>
      <c r="Q24" s="354"/>
      <c r="R24" s="354" t="str">
        <f aca="true">IF(Build!AC636,OFFSET(Spells!Z$2,Build!AC636,0),"")</f>
        <v/>
      </c>
      <c r="S24" s="354"/>
      <c r="T24" s="354" t="str">
        <f aca="true">IF(Build!AC636,OFFSET(Spells!AA$2,Build!AC636,0),"")</f>
        <v/>
      </c>
      <c r="U24" s="354"/>
      <c r="V24" s="354"/>
      <c r="W24" s="354" t="str">
        <f aca="true">IF(Build!AC636,OFFSET(Spells!AC$2,Build!AC636,0),"")</f>
        <v/>
      </c>
      <c r="X24" s="354"/>
      <c r="Y24" s="354"/>
      <c r="Z24" s="514" t="str">
        <f aca="false">Build!AI636</f>
        <v>Effect</v>
      </c>
      <c r="AA24" s="514"/>
      <c r="AB24" s="514"/>
      <c r="AC24" s="516" t="e">
        <f aca="false">IF(Z24&lt;&gt;"",VLOOKUP(LEFT(Z24,FIND("+",Z24&amp;"+")-1),Build!X$596:Y$603,2,0)+IF(LEN(Z24)&gt;2,MID(Z24,FIND("+",Z24&amp;"+")+1,2),0),"")</f>
        <v>#N/A</v>
      </c>
      <c r="AD24" s="516"/>
      <c r="AE24" s="517" t="e">
        <f aca="true">IF(AC24&lt;&gt;"",OFFSET(ActionDice,AC24,0),"")</f>
        <v>#N/A</v>
      </c>
      <c r="AF24" s="517"/>
      <c r="AG24" s="517"/>
      <c r="AH24" s="517"/>
      <c r="AI24" s="517"/>
      <c r="AJ24" s="517"/>
      <c r="AK24" s="508" t="str">
        <f aca="true">IF(Build!AC636,OFFSET(Spells!AD$2,Build!AC636,0),"")</f>
        <v/>
      </c>
      <c r="AL24" s="508"/>
      <c r="AM24" s="508"/>
    </row>
    <row r="25" customFormat="false" ht="11.1" hidden="false" customHeight="true" outlineLevel="0" collapsed="false">
      <c r="A25" s="389"/>
      <c r="B25" s="389"/>
      <c r="C25" s="515" t="str">
        <f aca="true">IF(Build!AC637,OFFSET(Spells!V$2,Build!AC637,0),"")</f>
        <v/>
      </c>
      <c r="D25" s="515"/>
      <c r="E25" s="515"/>
      <c r="F25" s="515"/>
      <c r="G25" s="515"/>
      <c r="H25" s="515"/>
      <c r="I25" s="515"/>
      <c r="J25" s="515"/>
      <c r="K25" s="515"/>
      <c r="L25" s="354" t="str">
        <f aca="true">IF(Build!AC637,OFFSET(Spells!W$2,Build!AC637,0),"")</f>
        <v/>
      </c>
      <c r="M25" s="354"/>
      <c r="N25" s="354" t="str">
        <f aca="true">IF(Build!AC637,OFFSET(Spells!X$2,Build!AC637,0),"")</f>
        <v/>
      </c>
      <c r="O25" s="354"/>
      <c r="P25" s="354" t="str">
        <f aca="true">IF(Build!AC637,OFFSET(Spells!Y$2,Build!AC637,0),"")</f>
        <v/>
      </c>
      <c r="Q25" s="354"/>
      <c r="R25" s="354" t="str">
        <f aca="true">IF(Build!AC637,OFFSET(Spells!Z$2,Build!AC637,0),"")</f>
        <v/>
      </c>
      <c r="S25" s="354"/>
      <c r="T25" s="354" t="str">
        <f aca="true">IF(Build!AC637,OFFSET(Spells!AA$2,Build!AC637,0),"")</f>
        <v/>
      </c>
      <c r="U25" s="354"/>
      <c r="V25" s="354"/>
      <c r="W25" s="354" t="str">
        <f aca="true">IF(Build!AC637,OFFSET(Spells!AC$2,Build!AC637,0),"")</f>
        <v/>
      </c>
      <c r="X25" s="354"/>
      <c r="Y25" s="354"/>
      <c r="Z25" s="514" t="str">
        <f aca="false">Build!AI637</f>
        <v>Effect</v>
      </c>
      <c r="AA25" s="514"/>
      <c r="AB25" s="514"/>
      <c r="AC25" s="516" t="e">
        <f aca="false">IF(Z25&lt;&gt;"",VLOOKUP(LEFT(Z25,FIND("+",Z25&amp;"+")-1),Build!X$596:Y$603,2,0)+IF(LEN(Z25)&gt;2,MID(Z25,FIND("+",Z25&amp;"+")+1,2),0),"")</f>
        <v>#N/A</v>
      </c>
      <c r="AD25" s="516"/>
      <c r="AE25" s="517" t="e">
        <f aca="true">IF(AC25&lt;&gt;"",OFFSET(ActionDice,AC25,0),"")</f>
        <v>#N/A</v>
      </c>
      <c r="AF25" s="517"/>
      <c r="AG25" s="517"/>
      <c r="AH25" s="517"/>
      <c r="AI25" s="517"/>
      <c r="AJ25" s="517"/>
      <c r="AK25" s="508" t="str">
        <f aca="true">IF(Build!AC637,OFFSET(Spells!AD$2,Build!AC637,0),"")</f>
        <v/>
      </c>
      <c r="AL25" s="508"/>
      <c r="AM25" s="508"/>
    </row>
    <row r="26" customFormat="false" ht="11.1" hidden="false" customHeight="true" outlineLevel="0" collapsed="false">
      <c r="A26" s="389"/>
      <c r="B26" s="389"/>
      <c r="C26" s="515" t="str">
        <f aca="true">IF(Build!AC638,OFFSET(Spells!V$2,Build!AC638,0),"")</f>
        <v/>
      </c>
      <c r="D26" s="515"/>
      <c r="E26" s="515"/>
      <c r="F26" s="515"/>
      <c r="G26" s="515"/>
      <c r="H26" s="515"/>
      <c r="I26" s="515"/>
      <c r="J26" s="515"/>
      <c r="K26" s="515"/>
      <c r="L26" s="354" t="str">
        <f aca="true">IF(Build!AC638,OFFSET(Spells!W$2,Build!AC638,0),"")</f>
        <v/>
      </c>
      <c r="M26" s="354"/>
      <c r="N26" s="354" t="str">
        <f aca="true">IF(Build!AC638,OFFSET(Spells!X$2,Build!AC638,0),"")</f>
        <v/>
      </c>
      <c r="O26" s="354"/>
      <c r="P26" s="354" t="str">
        <f aca="true">IF(Build!AC638,OFFSET(Spells!Y$2,Build!AC638,0),"")</f>
        <v/>
      </c>
      <c r="Q26" s="354"/>
      <c r="R26" s="354" t="str">
        <f aca="true">IF(Build!AC638,OFFSET(Spells!Z$2,Build!AC638,0),"")</f>
        <v/>
      </c>
      <c r="S26" s="354"/>
      <c r="T26" s="354" t="str">
        <f aca="true">IF(Build!AC638,OFFSET(Spells!AA$2,Build!AC638,0),"")</f>
        <v/>
      </c>
      <c r="U26" s="354"/>
      <c r="V26" s="354"/>
      <c r="W26" s="354" t="str">
        <f aca="true">IF(Build!AC638,OFFSET(Spells!AC$2,Build!AC638,0),"")</f>
        <v/>
      </c>
      <c r="X26" s="354"/>
      <c r="Y26" s="354"/>
      <c r="Z26" s="514" t="str">
        <f aca="false">Build!AI638</f>
        <v>Effect</v>
      </c>
      <c r="AA26" s="514"/>
      <c r="AB26" s="514"/>
      <c r="AC26" s="516" t="e">
        <f aca="false">IF(Z26&lt;&gt;"",VLOOKUP(LEFT(Z26,FIND("+",Z26&amp;"+")-1),Build!X$596:Y$603,2,0)+IF(LEN(Z26)&gt;2,MID(Z26,FIND("+",Z26&amp;"+")+1,2),0),"")</f>
        <v>#N/A</v>
      </c>
      <c r="AD26" s="516"/>
      <c r="AE26" s="517" t="e">
        <f aca="true">IF(AC26&lt;&gt;"",OFFSET(ActionDice,AC26,0),"")</f>
        <v>#N/A</v>
      </c>
      <c r="AF26" s="517"/>
      <c r="AG26" s="517"/>
      <c r="AH26" s="517"/>
      <c r="AI26" s="517"/>
      <c r="AJ26" s="517"/>
      <c r="AK26" s="508" t="str">
        <f aca="true">IF(Build!AC638,OFFSET(Spells!AD$2,Build!AC638,0),"")</f>
        <v/>
      </c>
      <c r="AL26" s="508"/>
      <c r="AM26" s="508"/>
    </row>
    <row r="27" customFormat="false" ht="11.1" hidden="false" customHeight="true" outlineLevel="0" collapsed="false">
      <c r="A27" s="389"/>
      <c r="B27" s="389"/>
      <c r="C27" s="515" t="str">
        <f aca="true">IF(Build!AC639,OFFSET(Spells!V$2,Build!AC639,0),"")</f>
        <v/>
      </c>
      <c r="D27" s="515"/>
      <c r="E27" s="515"/>
      <c r="F27" s="515"/>
      <c r="G27" s="515"/>
      <c r="H27" s="515"/>
      <c r="I27" s="515"/>
      <c r="J27" s="515"/>
      <c r="K27" s="515"/>
      <c r="L27" s="354" t="str">
        <f aca="true">IF(Build!AC639,OFFSET(Spells!W$2,Build!AC639,0),"")</f>
        <v/>
      </c>
      <c r="M27" s="354"/>
      <c r="N27" s="354" t="str">
        <f aca="true">IF(Build!AC639,OFFSET(Spells!X$2,Build!AC639,0),"")</f>
        <v/>
      </c>
      <c r="O27" s="354"/>
      <c r="P27" s="354" t="str">
        <f aca="true">IF(Build!AC639,OFFSET(Spells!Y$2,Build!AC639,0),"")</f>
        <v/>
      </c>
      <c r="Q27" s="354"/>
      <c r="R27" s="354" t="str">
        <f aca="true">IF(Build!AC639,OFFSET(Spells!Z$2,Build!AC639,0),"")</f>
        <v/>
      </c>
      <c r="S27" s="354"/>
      <c r="T27" s="354" t="str">
        <f aca="true">IF(Build!AC639,OFFSET(Spells!AA$2,Build!AC639,0),"")</f>
        <v/>
      </c>
      <c r="U27" s="354"/>
      <c r="V27" s="354"/>
      <c r="W27" s="354" t="str">
        <f aca="true">IF(Build!AC639,OFFSET(Spells!AC$2,Build!AC639,0),"")</f>
        <v/>
      </c>
      <c r="X27" s="354"/>
      <c r="Y27" s="354"/>
      <c r="Z27" s="514" t="str">
        <f aca="false">Build!AI639</f>
        <v>Effect</v>
      </c>
      <c r="AA27" s="514"/>
      <c r="AB27" s="514"/>
      <c r="AC27" s="516" t="e">
        <f aca="false">IF(Z27&lt;&gt;"",VLOOKUP(LEFT(Z27,FIND("+",Z27&amp;"+")-1),Build!X$596:Y$603,2,0)+IF(LEN(Z27)&gt;2,MID(Z27,FIND("+",Z27&amp;"+")+1,2),0),"")</f>
        <v>#N/A</v>
      </c>
      <c r="AD27" s="516"/>
      <c r="AE27" s="517" t="e">
        <f aca="true">IF(AC27&lt;&gt;"",OFFSET(ActionDice,AC27,0),"")</f>
        <v>#N/A</v>
      </c>
      <c r="AF27" s="517"/>
      <c r="AG27" s="517"/>
      <c r="AH27" s="517"/>
      <c r="AI27" s="517"/>
      <c r="AJ27" s="517"/>
      <c r="AK27" s="508" t="str">
        <f aca="true">IF(Build!AC639,OFFSET(Spells!AD$2,Build!AC639,0),"")</f>
        <v/>
      </c>
      <c r="AL27" s="508"/>
      <c r="AM27" s="508"/>
    </row>
    <row r="28" customFormat="false" ht="11.1" hidden="false" customHeight="true" outlineLevel="0" collapsed="false">
      <c r="A28" s="389"/>
      <c r="B28" s="389"/>
      <c r="C28" s="515" t="str">
        <f aca="true">IF(Build!AC640,OFFSET(Spells!V$2,Build!AC640,0),"")</f>
        <v/>
      </c>
      <c r="D28" s="515"/>
      <c r="E28" s="515"/>
      <c r="F28" s="515"/>
      <c r="G28" s="515"/>
      <c r="H28" s="515"/>
      <c r="I28" s="515"/>
      <c r="J28" s="515"/>
      <c r="K28" s="515"/>
      <c r="L28" s="354" t="str">
        <f aca="true">IF(Build!AC640,OFFSET(Spells!W$2,Build!AC640,0),"")</f>
        <v/>
      </c>
      <c r="M28" s="354"/>
      <c r="N28" s="354" t="str">
        <f aca="true">IF(Build!AC640,OFFSET(Spells!X$2,Build!AC640,0),"")</f>
        <v/>
      </c>
      <c r="O28" s="354"/>
      <c r="P28" s="354" t="str">
        <f aca="true">IF(Build!AC640,OFFSET(Spells!Y$2,Build!AC640,0),"")</f>
        <v/>
      </c>
      <c r="Q28" s="354"/>
      <c r="R28" s="354" t="str">
        <f aca="true">IF(Build!AC640,OFFSET(Spells!Z$2,Build!AC640,0),"")</f>
        <v/>
      </c>
      <c r="S28" s="354"/>
      <c r="T28" s="354" t="str">
        <f aca="true">IF(Build!AC640,OFFSET(Spells!AA$2,Build!AC640,0),"")</f>
        <v/>
      </c>
      <c r="U28" s="354"/>
      <c r="V28" s="354"/>
      <c r="W28" s="354" t="str">
        <f aca="true">IF(Build!AC640,OFFSET(Spells!AC$2,Build!AC640,0),"")</f>
        <v/>
      </c>
      <c r="X28" s="354"/>
      <c r="Y28" s="354"/>
      <c r="Z28" s="514" t="str">
        <f aca="false">Build!AI640</f>
        <v>Effect</v>
      </c>
      <c r="AA28" s="514"/>
      <c r="AB28" s="514"/>
      <c r="AC28" s="516" t="e">
        <f aca="false">IF(Z28&lt;&gt;"",VLOOKUP(LEFT(Z28,FIND("+",Z28&amp;"+")-1),Build!X$596:Y$603,2,0)+IF(LEN(Z28)&gt;2,MID(Z28,FIND("+",Z28&amp;"+")+1,2),0),"")</f>
        <v>#N/A</v>
      </c>
      <c r="AD28" s="516"/>
      <c r="AE28" s="517" t="e">
        <f aca="true">IF(AC28&lt;&gt;"",OFFSET(ActionDice,AC28,0),"")</f>
        <v>#N/A</v>
      </c>
      <c r="AF28" s="517"/>
      <c r="AG28" s="517"/>
      <c r="AH28" s="517"/>
      <c r="AI28" s="517"/>
      <c r="AJ28" s="517"/>
      <c r="AK28" s="508" t="str">
        <f aca="true">IF(Build!AC640,OFFSET(Spells!AD$2,Build!AC640,0),"")</f>
        <v/>
      </c>
      <c r="AL28" s="508"/>
      <c r="AM28" s="508"/>
    </row>
    <row r="29" customFormat="false" ht="11.1" hidden="false" customHeight="true" outlineLevel="0" collapsed="false">
      <c r="A29" s="389"/>
      <c r="B29" s="389"/>
      <c r="C29" s="515" t="str">
        <f aca="true">IF(Build!AC641,OFFSET(Spells!V$2,Build!AC641,0),"")</f>
        <v/>
      </c>
      <c r="D29" s="515"/>
      <c r="E29" s="515"/>
      <c r="F29" s="515"/>
      <c r="G29" s="515"/>
      <c r="H29" s="515"/>
      <c r="I29" s="515"/>
      <c r="J29" s="515"/>
      <c r="K29" s="515"/>
      <c r="L29" s="354" t="str">
        <f aca="true">IF(Build!AC641,OFFSET(Spells!W$2,Build!AC641,0),"")</f>
        <v/>
      </c>
      <c r="M29" s="354"/>
      <c r="N29" s="354" t="str">
        <f aca="true">IF(Build!AC641,OFFSET(Spells!X$2,Build!AC641,0),"")</f>
        <v/>
      </c>
      <c r="O29" s="354"/>
      <c r="P29" s="354" t="str">
        <f aca="true">IF(Build!AC641,OFFSET(Spells!Y$2,Build!AC641,0),"")</f>
        <v/>
      </c>
      <c r="Q29" s="354"/>
      <c r="R29" s="354" t="str">
        <f aca="true">IF(Build!AC641,OFFSET(Spells!Z$2,Build!AC641,0),"")</f>
        <v/>
      </c>
      <c r="S29" s="354"/>
      <c r="T29" s="354" t="str">
        <f aca="true">IF(Build!AC641,OFFSET(Spells!AA$2,Build!AC641,0),"")</f>
        <v/>
      </c>
      <c r="U29" s="354"/>
      <c r="V29" s="354"/>
      <c r="W29" s="354" t="str">
        <f aca="true">IF(Build!AC641,OFFSET(Spells!AC$2,Build!AC641,0),"")</f>
        <v/>
      </c>
      <c r="X29" s="354"/>
      <c r="Y29" s="354"/>
      <c r="Z29" s="514" t="str">
        <f aca="false">Build!AI641</f>
        <v>Effect</v>
      </c>
      <c r="AA29" s="514"/>
      <c r="AB29" s="514"/>
      <c r="AC29" s="516" t="e">
        <f aca="false">IF(Z29&lt;&gt;"",VLOOKUP(LEFT(Z29,FIND("+",Z29&amp;"+")-1),Build!X$596:Y$603,2,0)+IF(LEN(Z29)&gt;2,MID(Z29,FIND("+",Z29&amp;"+")+1,2),0),"")</f>
        <v>#N/A</v>
      </c>
      <c r="AD29" s="516"/>
      <c r="AE29" s="517" t="e">
        <f aca="true">IF(AC29&lt;&gt;"",OFFSET(ActionDice,AC29,0),"")</f>
        <v>#N/A</v>
      </c>
      <c r="AF29" s="517"/>
      <c r="AG29" s="517"/>
      <c r="AH29" s="517"/>
      <c r="AI29" s="517"/>
      <c r="AJ29" s="517"/>
      <c r="AK29" s="508" t="str">
        <f aca="true">IF(Build!AC641,OFFSET(Spells!AD$2,Build!AC641,0),"")</f>
        <v/>
      </c>
      <c r="AL29" s="508"/>
      <c r="AM29" s="508"/>
    </row>
    <row r="30" customFormat="false" ht="11.1" hidden="false" customHeight="true" outlineLevel="0" collapsed="false">
      <c r="A30" s="389"/>
      <c r="B30" s="389"/>
      <c r="C30" s="515" t="str">
        <f aca="true">IF(Build!AC642,OFFSET(Spells!V$2,Build!AC642,0),"")</f>
        <v/>
      </c>
      <c r="D30" s="515"/>
      <c r="E30" s="515"/>
      <c r="F30" s="515"/>
      <c r="G30" s="515"/>
      <c r="H30" s="515"/>
      <c r="I30" s="515"/>
      <c r="J30" s="515"/>
      <c r="K30" s="515"/>
      <c r="L30" s="354" t="str">
        <f aca="true">IF(Build!AC642,OFFSET(Spells!W$2,Build!AC642,0),"")</f>
        <v/>
      </c>
      <c r="M30" s="354"/>
      <c r="N30" s="354" t="str">
        <f aca="true">IF(Build!AC642,OFFSET(Spells!X$2,Build!AC642,0),"")</f>
        <v/>
      </c>
      <c r="O30" s="354"/>
      <c r="P30" s="354" t="str">
        <f aca="true">IF(Build!AC642,OFFSET(Spells!Y$2,Build!AC642,0),"")</f>
        <v/>
      </c>
      <c r="Q30" s="354"/>
      <c r="R30" s="354" t="str">
        <f aca="true">IF(Build!AC642,OFFSET(Spells!Z$2,Build!AC642,0),"")</f>
        <v/>
      </c>
      <c r="S30" s="354"/>
      <c r="T30" s="354" t="str">
        <f aca="true">IF(Build!AC642,OFFSET(Spells!AA$2,Build!AC642,0),"")</f>
        <v/>
      </c>
      <c r="U30" s="354"/>
      <c r="V30" s="354"/>
      <c r="W30" s="354" t="str">
        <f aca="true">IF(Build!AC642,OFFSET(Spells!AC$2,Build!AC642,0),"")</f>
        <v/>
      </c>
      <c r="X30" s="354"/>
      <c r="Y30" s="354"/>
      <c r="Z30" s="514" t="str">
        <f aca="false">Build!AI642</f>
        <v>Effect</v>
      </c>
      <c r="AA30" s="514"/>
      <c r="AB30" s="514"/>
      <c r="AC30" s="516" t="e">
        <f aca="false">IF(Z30&lt;&gt;"",VLOOKUP(LEFT(Z30,FIND("+",Z30&amp;"+")-1),Build!X$596:Y$603,2,0)+IF(LEN(Z30)&gt;2,MID(Z30,FIND("+",Z30&amp;"+")+1,2),0),"")</f>
        <v>#N/A</v>
      </c>
      <c r="AD30" s="516"/>
      <c r="AE30" s="517" t="e">
        <f aca="true">IF(AC30&lt;&gt;"",OFFSET(ActionDice,AC30,0),"")</f>
        <v>#N/A</v>
      </c>
      <c r="AF30" s="517"/>
      <c r="AG30" s="517"/>
      <c r="AH30" s="517"/>
      <c r="AI30" s="517"/>
      <c r="AJ30" s="517"/>
      <c r="AK30" s="508" t="str">
        <f aca="true">IF(Build!AC642,OFFSET(Spells!AD$2,Build!AC642,0),"")</f>
        <v/>
      </c>
      <c r="AL30" s="508"/>
      <c r="AM30" s="508"/>
    </row>
    <row r="31" customFormat="false" ht="11.1" hidden="false" customHeight="true" outlineLevel="0" collapsed="false">
      <c r="A31" s="389"/>
      <c r="B31" s="389"/>
      <c r="C31" s="515" t="str">
        <f aca="true">IF(Build!AC643,OFFSET(Spells!V$2,Build!AC643,0),"")</f>
        <v/>
      </c>
      <c r="D31" s="515"/>
      <c r="E31" s="515"/>
      <c r="F31" s="515"/>
      <c r="G31" s="515"/>
      <c r="H31" s="515"/>
      <c r="I31" s="515"/>
      <c r="J31" s="515"/>
      <c r="K31" s="515"/>
      <c r="L31" s="354" t="str">
        <f aca="true">IF(Build!AC643,OFFSET(Spells!W$2,Build!AC643,0),"")</f>
        <v/>
      </c>
      <c r="M31" s="354"/>
      <c r="N31" s="354" t="str">
        <f aca="true">IF(Build!AC643,OFFSET(Spells!X$2,Build!AC643,0),"")</f>
        <v/>
      </c>
      <c r="O31" s="354"/>
      <c r="P31" s="354" t="str">
        <f aca="true">IF(Build!AC643,OFFSET(Spells!Y$2,Build!AC643,0),"")</f>
        <v/>
      </c>
      <c r="Q31" s="354"/>
      <c r="R31" s="354" t="str">
        <f aca="true">IF(Build!AC643,OFFSET(Spells!Z$2,Build!AC643,0),"")</f>
        <v/>
      </c>
      <c r="S31" s="354"/>
      <c r="T31" s="354" t="str">
        <f aca="true">IF(Build!AC643,OFFSET(Spells!AA$2,Build!AC643,0),"")</f>
        <v/>
      </c>
      <c r="U31" s="354"/>
      <c r="V31" s="354"/>
      <c r="W31" s="354" t="str">
        <f aca="true">IF(Build!AC643,OFFSET(Spells!AC$2,Build!AC643,0),"")</f>
        <v/>
      </c>
      <c r="X31" s="354"/>
      <c r="Y31" s="354"/>
      <c r="Z31" s="514" t="str">
        <f aca="false">Build!AI643</f>
        <v>Effect</v>
      </c>
      <c r="AA31" s="514"/>
      <c r="AB31" s="514"/>
      <c r="AC31" s="516" t="e">
        <f aca="false">IF(Z31&lt;&gt;"",VLOOKUP(LEFT(Z31,FIND("+",Z31&amp;"+")-1),Build!X$596:Y$603,2,0)+IF(LEN(Z31)&gt;2,MID(Z31,FIND("+",Z31&amp;"+")+1,2),0),"")</f>
        <v>#N/A</v>
      </c>
      <c r="AD31" s="516"/>
      <c r="AE31" s="517" t="e">
        <f aca="true">IF(AC31&lt;&gt;"",OFFSET(ActionDice,AC31,0),"")</f>
        <v>#N/A</v>
      </c>
      <c r="AF31" s="517"/>
      <c r="AG31" s="517"/>
      <c r="AH31" s="517"/>
      <c r="AI31" s="517"/>
      <c r="AJ31" s="517"/>
      <c r="AK31" s="508" t="str">
        <f aca="true">IF(Build!AC643,OFFSET(Spells!AD$2,Build!AC643,0),"")</f>
        <v/>
      </c>
      <c r="AL31" s="508"/>
      <c r="AM31" s="508"/>
    </row>
    <row r="32" customFormat="false" ht="11.1" hidden="false" customHeight="true" outlineLevel="0" collapsed="false">
      <c r="A32" s="389"/>
      <c r="B32" s="389"/>
      <c r="C32" s="515" t="str">
        <f aca="true">IF(Build!AC644,OFFSET(Spells!V$2,Build!AC644,0),"")</f>
        <v/>
      </c>
      <c r="D32" s="515"/>
      <c r="E32" s="515"/>
      <c r="F32" s="515"/>
      <c r="G32" s="515"/>
      <c r="H32" s="515"/>
      <c r="I32" s="515"/>
      <c r="J32" s="515"/>
      <c r="K32" s="515"/>
      <c r="L32" s="354" t="str">
        <f aca="true">IF(Build!AC644,OFFSET(Spells!W$2,Build!AC644,0),"")</f>
        <v/>
      </c>
      <c r="M32" s="354"/>
      <c r="N32" s="354" t="str">
        <f aca="true">IF(Build!AC644,OFFSET(Spells!X$2,Build!AC644,0),"")</f>
        <v/>
      </c>
      <c r="O32" s="354"/>
      <c r="P32" s="354" t="str">
        <f aca="true">IF(Build!AC644,OFFSET(Spells!Y$2,Build!AC644,0),"")</f>
        <v/>
      </c>
      <c r="Q32" s="354"/>
      <c r="R32" s="354" t="str">
        <f aca="true">IF(Build!AC644,OFFSET(Spells!Z$2,Build!AC644,0),"")</f>
        <v/>
      </c>
      <c r="S32" s="354"/>
      <c r="T32" s="354" t="str">
        <f aca="true">IF(Build!AC644,OFFSET(Spells!AA$2,Build!AC644,0),"")</f>
        <v/>
      </c>
      <c r="U32" s="354"/>
      <c r="V32" s="354"/>
      <c r="W32" s="354" t="str">
        <f aca="true">IF(Build!AC644,OFFSET(Spells!AC$2,Build!AC644,0),"")</f>
        <v/>
      </c>
      <c r="X32" s="354"/>
      <c r="Y32" s="354"/>
      <c r="Z32" s="514" t="str">
        <f aca="false">Build!AI644</f>
        <v>Effect</v>
      </c>
      <c r="AA32" s="514"/>
      <c r="AB32" s="514"/>
      <c r="AC32" s="516" t="e">
        <f aca="false">IF(Z32&lt;&gt;"",VLOOKUP(LEFT(Z32,FIND("+",Z32&amp;"+")-1),Build!X$596:Y$603,2,0)+IF(LEN(Z32)&gt;2,MID(Z32,FIND("+",Z32&amp;"+")+1,2),0),"")</f>
        <v>#N/A</v>
      </c>
      <c r="AD32" s="516"/>
      <c r="AE32" s="517" t="e">
        <f aca="true">IF(AC32&lt;&gt;"",OFFSET(ActionDice,AC32,0),"")</f>
        <v>#N/A</v>
      </c>
      <c r="AF32" s="517"/>
      <c r="AG32" s="517"/>
      <c r="AH32" s="517"/>
      <c r="AI32" s="517"/>
      <c r="AJ32" s="517"/>
      <c r="AK32" s="508" t="str">
        <f aca="true">IF(Build!AC644,OFFSET(Spells!AD$2,Build!AC644,0),"")</f>
        <v/>
      </c>
      <c r="AL32" s="508"/>
      <c r="AM32" s="508"/>
    </row>
    <row r="33" customFormat="false" ht="11.1" hidden="false" customHeight="true" outlineLevel="0" collapsed="false">
      <c r="A33" s="389"/>
      <c r="B33" s="389"/>
      <c r="C33" s="515" t="str">
        <f aca="true">IF(Build!AC645,OFFSET(Spells!V$2,Build!AC645,0),"")</f>
        <v/>
      </c>
      <c r="D33" s="515"/>
      <c r="E33" s="515"/>
      <c r="F33" s="515"/>
      <c r="G33" s="515"/>
      <c r="H33" s="515"/>
      <c r="I33" s="515"/>
      <c r="J33" s="515"/>
      <c r="K33" s="515"/>
      <c r="L33" s="354" t="str">
        <f aca="true">IF(Build!AC645,OFFSET(Spells!W$2,Build!AC645,0),"")</f>
        <v/>
      </c>
      <c r="M33" s="354"/>
      <c r="N33" s="354" t="str">
        <f aca="true">IF(Build!AC645,OFFSET(Spells!X$2,Build!AC645,0),"")</f>
        <v/>
      </c>
      <c r="O33" s="354"/>
      <c r="P33" s="354" t="str">
        <f aca="true">IF(Build!AC645,OFFSET(Spells!Y$2,Build!AC645,0),"")</f>
        <v/>
      </c>
      <c r="Q33" s="354"/>
      <c r="R33" s="354" t="str">
        <f aca="true">IF(Build!AC645,OFFSET(Spells!Z$2,Build!AC645,0),"")</f>
        <v/>
      </c>
      <c r="S33" s="354"/>
      <c r="T33" s="354" t="str">
        <f aca="true">IF(Build!AC645,OFFSET(Spells!AA$2,Build!AC645,0),"")</f>
        <v/>
      </c>
      <c r="U33" s="354"/>
      <c r="V33" s="354"/>
      <c r="W33" s="354" t="str">
        <f aca="true">IF(Build!AC645,OFFSET(Spells!AC$2,Build!AC645,0),"")</f>
        <v/>
      </c>
      <c r="X33" s="354"/>
      <c r="Y33" s="354"/>
      <c r="Z33" s="514" t="str">
        <f aca="false">Build!AI645</f>
        <v>Effect</v>
      </c>
      <c r="AA33" s="514"/>
      <c r="AB33" s="514"/>
      <c r="AC33" s="516" t="e">
        <f aca="false">IF(Z33&lt;&gt;"",VLOOKUP(LEFT(Z33,FIND("+",Z33&amp;"+")-1),Build!X$596:Y$603,2,0)+IF(LEN(Z33)&gt;2,MID(Z33,FIND("+",Z33&amp;"+")+1,2),0),"")</f>
        <v>#N/A</v>
      </c>
      <c r="AD33" s="516"/>
      <c r="AE33" s="517" t="e">
        <f aca="true">IF(AC33&lt;&gt;"",OFFSET(ActionDice,AC33,0),"")</f>
        <v>#N/A</v>
      </c>
      <c r="AF33" s="517"/>
      <c r="AG33" s="517"/>
      <c r="AH33" s="517"/>
      <c r="AI33" s="517"/>
      <c r="AJ33" s="517"/>
      <c r="AK33" s="508" t="str">
        <f aca="true">IF(Build!AC645,OFFSET(Spells!AD$2,Build!AC645,0),"")</f>
        <v/>
      </c>
      <c r="AL33" s="508"/>
      <c r="AM33" s="508"/>
    </row>
    <row r="34" customFormat="false" ht="11.1" hidden="false" customHeight="true" outlineLevel="0" collapsed="false">
      <c r="A34" s="389"/>
      <c r="B34" s="389"/>
      <c r="C34" s="515" t="str">
        <f aca="true">IF(Build!AC646,OFFSET(Spells!V$2,Build!AC646,0),"")</f>
        <v/>
      </c>
      <c r="D34" s="515"/>
      <c r="E34" s="515"/>
      <c r="F34" s="515"/>
      <c r="G34" s="515"/>
      <c r="H34" s="515"/>
      <c r="I34" s="515"/>
      <c r="J34" s="515"/>
      <c r="K34" s="515"/>
      <c r="L34" s="354" t="str">
        <f aca="true">IF(Build!AC646,OFFSET(Spells!W$2,Build!AC646,0),"")</f>
        <v/>
      </c>
      <c r="M34" s="354"/>
      <c r="N34" s="354" t="str">
        <f aca="true">IF(Build!AC646,OFFSET(Spells!X$2,Build!AC646,0),"")</f>
        <v/>
      </c>
      <c r="O34" s="354"/>
      <c r="P34" s="354" t="str">
        <f aca="true">IF(Build!AC646,OFFSET(Spells!Y$2,Build!AC646,0),"")</f>
        <v/>
      </c>
      <c r="Q34" s="354"/>
      <c r="R34" s="354" t="str">
        <f aca="true">IF(Build!AC646,OFFSET(Spells!Z$2,Build!AC646,0),"")</f>
        <v/>
      </c>
      <c r="S34" s="354"/>
      <c r="T34" s="354" t="str">
        <f aca="true">IF(Build!AC646,OFFSET(Spells!AA$2,Build!AC646,0),"")</f>
        <v/>
      </c>
      <c r="U34" s="354"/>
      <c r="V34" s="354"/>
      <c r="W34" s="354" t="str">
        <f aca="true">IF(Build!AC646,OFFSET(Spells!AC$2,Build!AC646,0),"")</f>
        <v/>
      </c>
      <c r="X34" s="354"/>
      <c r="Y34" s="354"/>
      <c r="Z34" s="514" t="str">
        <f aca="false">Build!AI646</f>
        <v>Effect</v>
      </c>
      <c r="AA34" s="514"/>
      <c r="AB34" s="514"/>
      <c r="AC34" s="516" t="e">
        <f aca="false">IF(Z34&lt;&gt;"",VLOOKUP(LEFT(Z34,FIND("+",Z34&amp;"+")-1),Build!X$596:Y$603,2,0)+IF(LEN(Z34)&gt;2,MID(Z34,FIND("+",Z34&amp;"+")+1,2),0),"")</f>
        <v>#N/A</v>
      </c>
      <c r="AD34" s="516"/>
      <c r="AE34" s="517" t="e">
        <f aca="true">IF(AC34&lt;&gt;"",OFFSET(ActionDice,AC34,0),"")</f>
        <v>#N/A</v>
      </c>
      <c r="AF34" s="517"/>
      <c r="AG34" s="517"/>
      <c r="AH34" s="517"/>
      <c r="AI34" s="517"/>
      <c r="AJ34" s="517"/>
      <c r="AK34" s="508" t="str">
        <f aca="true">IF(Build!AC646,OFFSET(Spells!AD$2,Build!AC646,0),"")</f>
        <v/>
      </c>
      <c r="AL34" s="508"/>
      <c r="AM34" s="508"/>
    </row>
    <row r="35" customFormat="false" ht="11.1" hidden="false" customHeight="true" outlineLevel="0" collapsed="false">
      <c r="A35" s="389"/>
      <c r="B35" s="389"/>
      <c r="C35" s="515" t="str">
        <f aca="true">IF(Build!AC647,OFFSET(Spells!V$2,Build!AC647,0),"")</f>
        <v/>
      </c>
      <c r="D35" s="515"/>
      <c r="E35" s="515"/>
      <c r="F35" s="515"/>
      <c r="G35" s="515"/>
      <c r="H35" s="515"/>
      <c r="I35" s="515"/>
      <c r="J35" s="515"/>
      <c r="K35" s="515"/>
      <c r="L35" s="354" t="str">
        <f aca="true">IF(Build!AC647,OFFSET(Spells!W$2,Build!AC647,0),"")</f>
        <v/>
      </c>
      <c r="M35" s="354"/>
      <c r="N35" s="354" t="str">
        <f aca="true">IF(Build!AC647,OFFSET(Spells!X$2,Build!AC647,0),"")</f>
        <v/>
      </c>
      <c r="O35" s="354"/>
      <c r="P35" s="354" t="str">
        <f aca="true">IF(Build!AC647,OFFSET(Spells!Y$2,Build!AC647,0),"")</f>
        <v/>
      </c>
      <c r="Q35" s="354"/>
      <c r="R35" s="354" t="str">
        <f aca="true">IF(Build!AC647,OFFSET(Spells!Z$2,Build!AC647,0),"")</f>
        <v/>
      </c>
      <c r="S35" s="354"/>
      <c r="T35" s="354" t="str">
        <f aca="true">IF(Build!AC647,OFFSET(Spells!AA$2,Build!AC647,0),"")</f>
        <v/>
      </c>
      <c r="U35" s="354"/>
      <c r="V35" s="354"/>
      <c r="W35" s="354" t="str">
        <f aca="true">IF(Build!AC647,OFFSET(Spells!AC$2,Build!AC647,0),"")</f>
        <v/>
      </c>
      <c r="X35" s="354"/>
      <c r="Y35" s="354"/>
      <c r="Z35" s="514" t="str">
        <f aca="false">Build!AI647</f>
        <v>Effect</v>
      </c>
      <c r="AA35" s="514"/>
      <c r="AB35" s="514"/>
      <c r="AC35" s="516" t="e">
        <f aca="false">IF(Z35&lt;&gt;"",VLOOKUP(LEFT(Z35,FIND("+",Z35&amp;"+")-1),Build!X$596:Y$603,2,0)+IF(LEN(Z35)&gt;2,MID(Z35,FIND("+",Z35&amp;"+")+1,2),0),"")</f>
        <v>#N/A</v>
      </c>
      <c r="AD35" s="516"/>
      <c r="AE35" s="517" t="e">
        <f aca="true">IF(AC35&lt;&gt;"",OFFSET(ActionDice,AC35,0),"")</f>
        <v>#N/A</v>
      </c>
      <c r="AF35" s="517"/>
      <c r="AG35" s="517"/>
      <c r="AH35" s="517"/>
      <c r="AI35" s="517"/>
      <c r="AJ35" s="517"/>
      <c r="AK35" s="508" t="str">
        <f aca="true">IF(Build!AC647,OFFSET(Spells!AD$2,Build!AC647,0),"")</f>
        <v/>
      </c>
      <c r="AL35" s="508"/>
      <c r="AM35" s="508"/>
    </row>
    <row r="36" customFormat="false" ht="11.1" hidden="false" customHeight="true" outlineLevel="0" collapsed="false">
      <c r="A36" s="389"/>
      <c r="B36" s="389"/>
      <c r="C36" s="515" t="str">
        <f aca="true">IF(Build!AC648,OFFSET(Spells!V$2,Build!AC648,0),"")</f>
        <v/>
      </c>
      <c r="D36" s="515"/>
      <c r="E36" s="515"/>
      <c r="F36" s="515"/>
      <c r="G36" s="515"/>
      <c r="H36" s="515"/>
      <c r="I36" s="515"/>
      <c r="J36" s="515"/>
      <c r="K36" s="515"/>
      <c r="L36" s="354" t="str">
        <f aca="true">IF(Build!AC648,OFFSET(Spells!W$2,Build!AC648,0),"")</f>
        <v/>
      </c>
      <c r="M36" s="354"/>
      <c r="N36" s="354" t="str">
        <f aca="true">IF(Build!AC648,OFFSET(Spells!X$2,Build!AC648,0),"")</f>
        <v/>
      </c>
      <c r="O36" s="354"/>
      <c r="P36" s="354" t="str">
        <f aca="true">IF(Build!AC648,OFFSET(Spells!Y$2,Build!AC648,0),"")</f>
        <v/>
      </c>
      <c r="Q36" s="354"/>
      <c r="R36" s="354" t="str">
        <f aca="true">IF(Build!AC648,OFFSET(Spells!Z$2,Build!AC648,0),"")</f>
        <v/>
      </c>
      <c r="S36" s="354"/>
      <c r="T36" s="354" t="str">
        <f aca="true">IF(Build!AC648,OFFSET(Spells!AA$2,Build!AC648,0),"")</f>
        <v/>
      </c>
      <c r="U36" s="354"/>
      <c r="V36" s="354"/>
      <c r="W36" s="354" t="str">
        <f aca="true">IF(Build!AC648,OFFSET(Spells!AC$2,Build!AC648,0),"")</f>
        <v/>
      </c>
      <c r="X36" s="354"/>
      <c r="Y36" s="354"/>
      <c r="Z36" s="514" t="str">
        <f aca="false">Build!AI648</f>
        <v>Effect</v>
      </c>
      <c r="AA36" s="514"/>
      <c r="AB36" s="514"/>
      <c r="AC36" s="516" t="e">
        <f aca="false">IF(Z36&lt;&gt;"",VLOOKUP(LEFT(Z36,FIND("+",Z36&amp;"+")-1),Build!X$596:Y$603,2,0)+IF(LEN(Z36)&gt;2,MID(Z36,FIND("+",Z36&amp;"+")+1,2),0),"")</f>
        <v>#N/A</v>
      </c>
      <c r="AD36" s="516"/>
      <c r="AE36" s="517" t="e">
        <f aca="true">IF(AC36&lt;&gt;"",OFFSET(ActionDice,AC36,0),"")</f>
        <v>#N/A</v>
      </c>
      <c r="AF36" s="517"/>
      <c r="AG36" s="517"/>
      <c r="AH36" s="517"/>
      <c r="AI36" s="517"/>
      <c r="AJ36" s="517"/>
      <c r="AK36" s="508" t="str">
        <f aca="true">IF(Build!AC648,OFFSET(Spells!AD$2,Build!AC648,0),"")</f>
        <v/>
      </c>
      <c r="AL36" s="508"/>
      <c r="AM36" s="508"/>
    </row>
    <row r="37" customFormat="false" ht="11.1" hidden="false" customHeight="true" outlineLevel="0" collapsed="false">
      <c r="A37" s="389"/>
      <c r="B37" s="389"/>
      <c r="C37" s="515" t="str">
        <f aca="true">IF(Build!AC649,OFFSET(Spells!V$2,Build!AC649,0),"")</f>
        <v/>
      </c>
      <c r="D37" s="515"/>
      <c r="E37" s="515"/>
      <c r="F37" s="515"/>
      <c r="G37" s="515"/>
      <c r="H37" s="515"/>
      <c r="I37" s="515"/>
      <c r="J37" s="515"/>
      <c r="K37" s="515"/>
      <c r="L37" s="354" t="str">
        <f aca="true">IF(Build!AC649,OFFSET(Spells!W$2,Build!AC649,0),"")</f>
        <v/>
      </c>
      <c r="M37" s="354"/>
      <c r="N37" s="354" t="str">
        <f aca="true">IF(Build!AC649,OFFSET(Spells!X$2,Build!AC649,0),"")</f>
        <v/>
      </c>
      <c r="O37" s="354"/>
      <c r="P37" s="354" t="str">
        <f aca="true">IF(Build!AC649,OFFSET(Spells!Y$2,Build!AC649,0),"")</f>
        <v/>
      </c>
      <c r="Q37" s="354"/>
      <c r="R37" s="354" t="str">
        <f aca="true">IF(Build!AC649,OFFSET(Spells!Z$2,Build!AC649,0),"")</f>
        <v/>
      </c>
      <c r="S37" s="354"/>
      <c r="T37" s="354" t="str">
        <f aca="true">IF(Build!AC649,OFFSET(Spells!AA$2,Build!AC649,0),"")</f>
        <v/>
      </c>
      <c r="U37" s="354"/>
      <c r="V37" s="354"/>
      <c r="W37" s="354" t="str">
        <f aca="true">IF(Build!AC649,OFFSET(Spells!AC$2,Build!AC649,0),"")</f>
        <v/>
      </c>
      <c r="X37" s="354"/>
      <c r="Y37" s="354"/>
      <c r="Z37" s="514" t="str">
        <f aca="false">Build!AI649</f>
        <v>Effect</v>
      </c>
      <c r="AA37" s="514"/>
      <c r="AB37" s="514"/>
      <c r="AC37" s="516" t="e">
        <f aca="false">IF(Z37&lt;&gt;"",VLOOKUP(LEFT(Z37,FIND("+",Z37&amp;"+")-1),Build!X$596:Y$603,2,0)+IF(LEN(Z37)&gt;2,MID(Z37,FIND("+",Z37&amp;"+")+1,2),0),"")</f>
        <v>#N/A</v>
      </c>
      <c r="AD37" s="516"/>
      <c r="AE37" s="517" t="e">
        <f aca="true">IF(AC37&lt;&gt;"",OFFSET(ActionDice,AC37,0),"")</f>
        <v>#N/A</v>
      </c>
      <c r="AF37" s="517"/>
      <c r="AG37" s="517"/>
      <c r="AH37" s="517"/>
      <c r="AI37" s="517"/>
      <c r="AJ37" s="517"/>
      <c r="AK37" s="508" t="str">
        <f aca="true">IF(Build!AC649,OFFSET(Spells!AD$2,Build!AC649,0),"")</f>
        <v/>
      </c>
      <c r="AL37" s="508"/>
      <c r="AM37" s="508"/>
    </row>
    <row r="38" customFormat="false" ht="11.1" hidden="false" customHeight="true" outlineLevel="0" collapsed="false">
      <c r="A38" s="389"/>
      <c r="B38" s="389"/>
      <c r="C38" s="515" t="str">
        <f aca="true">IF(Build!AC650,OFFSET(Spells!V$2,Build!AC650,0),"")</f>
        <v/>
      </c>
      <c r="D38" s="515"/>
      <c r="E38" s="515"/>
      <c r="F38" s="515"/>
      <c r="G38" s="515"/>
      <c r="H38" s="515"/>
      <c r="I38" s="515"/>
      <c r="J38" s="515"/>
      <c r="K38" s="515"/>
      <c r="L38" s="354" t="str">
        <f aca="true">IF(Build!AC650,OFFSET(Spells!W$2,Build!AC650,0),"")</f>
        <v/>
      </c>
      <c r="M38" s="354"/>
      <c r="N38" s="354" t="str">
        <f aca="true">IF(Build!AC650,OFFSET(Spells!X$2,Build!AC650,0),"")</f>
        <v/>
      </c>
      <c r="O38" s="354"/>
      <c r="P38" s="354" t="str">
        <f aca="true">IF(Build!AC650,OFFSET(Spells!Y$2,Build!AC650,0),"")</f>
        <v/>
      </c>
      <c r="Q38" s="354"/>
      <c r="R38" s="354" t="str">
        <f aca="true">IF(Build!AC650,OFFSET(Spells!Z$2,Build!AC650,0),"")</f>
        <v/>
      </c>
      <c r="S38" s="354"/>
      <c r="T38" s="354" t="str">
        <f aca="true">IF(Build!AC650,OFFSET(Spells!AA$2,Build!AC650,0),"")</f>
        <v/>
      </c>
      <c r="U38" s="354"/>
      <c r="V38" s="354"/>
      <c r="W38" s="354" t="str">
        <f aca="true">IF(Build!AC650,OFFSET(Spells!AC$2,Build!AC650,0),"")</f>
        <v/>
      </c>
      <c r="X38" s="354"/>
      <c r="Y38" s="354"/>
      <c r="Z38" s="514" t="str">
        <f aca="false">Build!AI650</f>
        <v>Effect</v>
      </c>
      <c r="AA38" s="514"/>
      <c r="AB38" s="514"/>
      <c r="AC38" s="516" t="e">
        <f aca="false">IF(Z38&lt;&gt;"",VLOOKUP(LEFT(Z38,FIND("+",Z38&amp;"+")-1),Build!X$596:Y$603,2,0)+IF(LEN(Z38)&gt;2,MID(Z38,FIND("+",Z38&amp;"+")+1,2),0),"")</f>
        <v>#N/A</v>
      </c>
      <c r="AD38" s="516"/>
      <c r="AE38" s="517" t="e">
        <f aca="true">IF(AC38&lt;&gt;"",OFFSET(ActionDice,AC38,0),"")</f>
        <v>#N/A</v>
      </c>
      <c r="AF38" s="517"/>
      <c r="AG38" s="517"/>
      <c r="AH38" s="517"/>
      <c r="AI38" s="517"/>
      <c r="AJ38" s="517"/>
      <c r="AK38" s="508" t="str">
        <f aca="true">IF(Build!AC650,OFFSET(Spells!AD$2,Build!AC650,0),"")</f>
        <v/>
      </c>
      <c r="AL38" s="508"/>
      <c r="AM38" s="508"/>
    </row>
    <row r="39" customFormat="false" ht="11.1" hidden="false" customHeight="true" outlineLevel="0" collapsed="false">
      <c r="A39" s="389"/>
      <c r="B39" s="389"/>
      <c r="C39" s="515" t="str">
        <f aca="true">IF(Build!AC651,OFFSET(Spells!V$2,Build!AC651,0),"")</f>
        <v/>
      </c>
      <c r="D39" s="515"/>
      <c r="E39" s="515"/>
      <c r="F39" s="515"/>
      <c r="G39" s="515"/>
      <c r="H39" s="515"/>
      <c r="I39" s="515"/>
      <c r="J39" s="515"/>
      <c r="K39" s="515"/>
      <c r="L39" s="354" t="str">
        <f aca="true">IF(Build!AC651,OFFSET(Spells!W$2,Build!AC651,0),"")</f>
        <v/>
      </c>
      <c r="M39" s="354"/>
      <c r="N39" s="354" t="str">
        <f aca="true">IF(Build!AC651,OFFSET(Spells!X$2,Build!AC651,0),"")</f>
        <v/>
      </c>
      <c r="O39" s="354"/>
      <c r="P39" s="354" t="str">
        <f aca="true">IF(Build!AC651,OFFSET(Spells!Y$2,Build!AC651,0),"")</f>
        <v/>
      </c>
      <c r="Q39" s="354"/>
      <c r="R39" s="354" t="str">
        <f aca="true">IF(Build!AC651,OFFSET(Spells!Z$2,Build!AC651,0),"")</f>
        <v/>
      </c>
      <c r="S39" s="354"/>
      <c r="T39" s="354" t="str">
        <f aca="true">IF(Build!AC651,OFFSET(Spells!AA$2,Build!AC651,0),"")</f>
        <v/>
      </c>
      <c r="U39" s="354"/>
      <c r="V39" s="354"/>
      <c r="W39" s="354" t="str">
        <f aca="true">IF(Build!AC651,OFFSET(Spells!AC$2,Build!AC651,0),"")</f>
        <v/>
      </c>
      <c r="X39" s="354"/>
      <c r="Y39" s="354"/>
      <c r="Z39" s="514" t="str">
        <f aca="false">Build!AI651</f>
        <v>Effect</v>
      </c>
      <c r="AA39" s="514"/>
      <c r="AB39" s="514"/>
      <c r="AC39" s="516" t="e">
        <f aca="false">IF(Z39&lt;&gt;"",VLOOKUP(LEFT(Z39,FIND("+",Z39&amp;"+")-1),Build!X$596:Y$603,2,0)+IF(LEN(Z39)&gt;2,MID(Z39,FIND("+",Z39&amp;"+")+1,2),0),"")</f>
        <v>#N/A</v>
      </c>
      <c r="AD39" s="516"/>
      <c r="AE39" s="517" t="e">
        <f aca="true">IF(AC39&lt;&gt;"",OFFSET(ActionDice,AC39,0),"")</f>
        <v>#N/A</v>
      </c>
      <c r="AF39" s="517"/>
      <c r="AG39" s="517"/>
      <c r="AH39" s="517"/>
      <c r="AI39" s="517"/>
      <c r="AJ39" s="517"/>
      <c r="AK39" s="508" t="str">
        <f aca="true">IF(Build!AC651,OFFSET(Spells!AD$2,Build!AC651,0),"")</f>
        <v/>
      </c>
      <c r="AL39" s="508"/>
      <c r="AM39" s="508"/>
    </row>
    <row r="40" customFormat="false" ht="11.1" hidden="false" customHeight="true" outlineLevel="0" collapsed="false">
      <c r="A40" s="389"/>
      <c r="B40" s="389"/>
      <c r="C40" s="515" t="str">
        <f aca="true">IF(Build!AC652,OFFSET(Spells!V$2,Build!AC652,0),"")</f>
        <v/>
      </c>
      <c r="D40" s="515"/>
      <c r="E40" s="515"/>
      <c r="F40" s="515"/>
      <c r="G40" s="515"/>
      <c r="H40" s="515"/>
      <c r="I40" s="515"/>
      <c r="J40" s="515"/>
      <c r="K40" s="515"/>
      <c r="L40" s="354" t="str">
        <f aca="true">IF(Build!AC652,OFFSET(Spells!W$2,Build!AC652,0),"")</f>
        <v/>
      </c>
      <c r="M40" s="354"/>
      <c r="N40" s="354" t="str">
        <f aca="true">IF(Build!AC652,OFFSET(Spells!X$2,Build!AC652,0),"")</f>
        <v/>
      </c>
      <c r="O40" s="354"/>
      <c r="P40" s="354" t="str">
        <f aca="true">IF(Build!AC652,OFFSET(Spells!Y$2,Build!AC652,0),"")</f>
        <v/>
      </c>
      <c r="Q40" s="354"/>
      <c r="R40" s="354" t="str">
        <f aca="true">IF(Build!AC652,OFFSET(Spells!Z$2,Build!AC652,0),"")</f>
        <v/>
      </c>
      <c r="S40" s="354"/>
      <c r="T40" s="354" t="str">
        <f aca="true">IF(Build!AC652,OFFSET(Spells!AA$2,Build!AC652,0),"")</f>
        <v/>
      </c>
      <c r="U40" s="354"/>
      <c r="V40" s="354"/>
      <c r="W40" s="354" t="str">
        <f aca="true">IF(Build!AC652,OFFSET(Spells!AC$2,Build!AC652,0),"")</f>
        <v/>
      </c>
      <c r="X40" s="354"/>
      <c r="Y40" s="354"/>
      <c r="Z40" s="514" t="str">
        <f aca="false">Build!AI652</f>
        <v>Effect</v>
      </c>
      <c r="AA40" s="514"/>
      <c r="AB40" s="514"/>
      <c r="AC40" s="516" t="e">
        <f aca="false">IF(Z40&lt;&gt;"",VLOOKUP(LEFT(Z40,FIND("+",Z40&amp;"+")-1),Build!X$596:Y$603,2,0)+IF(LEN(Z40)&gt;2,MID(Z40,FIND("+",Z40&amp;"+")+1,2),0),"")</f>
        <v>#N/A</v>
      </c>
      <c r="AD40" s="516"/>
      <c r="AE40" s="517" t="e">
        <f aca="true">IF(AC40&lt;&gt;"",OFFSET(ActionDice,AC40,0),"")</f>
        <v>#N/A</v>
      </c>
      <c r="AF40" s="517"/>
      <c r="AG40" s="517"/>
      <c r="AH40" s="517"/>
      <c r="AI40" s="517"/>
      <c r="AJ40" s="517"/>
      <c r="AK40" s="508" t="str">
        <f aca="true">IF(Build!AC652,OFFSET(Spells!AD$2,Build!AC652,0),"")</f>
        <v/>
      </c>
      <c r="AL40" s="508"/>
      <c r="AM40" s="508"/>
    </row>
    <row r="41" customFormat="false" ht="11.1" hidden="false" customHeight="true" outlineLevel="0" collapsed="false">
      <c r="A41" s="389"/>
      <c r="B41" s="389"/>
      <c r="C41" s="515" t="str">
        <f aca="true">IF(Build!AC653,OFFSET(Spells!V$2,Build!AC653,0),"")</f>
        <v/>
      </c>
      <c r="D41" s="515"/>
      <c r="E41" s="515"/>
      <c r="F41" s="515"/>
      <c r="G41" s="515"/>
      <c r="H41" s="515"/>
      <c r="I41" s="515"/>
      <c r="J41" s="515"/>
      <c r="K41" s="515"/>
      <c r="L41" s="354" t="str">
        <f aca="true">IF(Build!AC653,OFFSET(Spells!W$2,Build!AC653,0),"")</f>
        <v/>
      </c>
      <c r="M41" s="354"/>
      <c r="N41" s="354" t="str">
        <f aca="true">IF(Build!AC653,OFFSET(Spells!X$2,Build!AC653,0),"")</f>
        <v/>
      </c>
      <c r="O41" s="354"/>
      <c r="P41" s="354" t="str">
        <f aca="true">IF(Build!AC653,OFFSET(Spells!Y$2,Build!AC653,0),"")</f>
        <v/>
      </c>
      <c r="Q41" s="354"/>
      <c r="R41" s="354" t="str">
        <f aca="true">IF(Build!AC653,OFFSET(Spells!Z$2,Build!AC653,0),"")</f>
        <v/>
      </c>
      <c r="S41" s="354"/>
      <c r="T41" s="354" t="str">
        <f aca="true">IF(Build!AC653,OFFSET(Spells!AA$2,Build!AC653,0),"")</f>
        <v/>
      </c>
      <c r="U41" s="354"/>
      <c r="V41" s="354"/>
      <c r="W41" s="354" t="str">
        <f aca="true">IF(Build!AC653,OFFSET(Spells!AC$2,Build!AC653,0),"")</f>
        <v/>
      </c>
      <c r="X41" s="354"/>
      <c r="Y41" s="354"/>
      <c r="Z41" s="514" t="str">
        <f aca="false">Build!AI653</f>
        <v>Effect</v>
      </c>
      <c r="AA41" s="514"/>
      <c r="AB41" s="514"/>
      <c r="AC41" s="516" t="e">
        <f aca="false">IF(Z41&lt;&gt;"",VLOOKUP(LEFT(Z41,FIND("+",Z41&amp;"+")-1),Build!X$596:Y$603,2,0)+IF(LEN(Z41)&gt;2,MID(Z41,FIND("+",Z41&amp;"+")+1,2),0),"")</f>
        <v>#N/A</v>
      </c>
      <c r="AD41" s="516"/>
      <c r="AE41" s="517" t="e">
        <f aca="true">IF(AC41&lt;&gt;"",OFFSET(ActionDice,AC41,0),"")</f>
        <v>#N/A</v>
      </c>
      <c r="AF41" s="517"/>
      <c r="AG41" s="517"/>
      <c r="AH41" s="517"/>
      <c r="AI41" s="517"/>
      <c r="AJ41" s="517"/>
      <c r="AK41" s="508" t="str">
        <f aca="true">IF(Build!AC653,OFFSET(Spells!AD$2,Build!AC653,0),"")</f>
        <v/>
      </c>
      <c r="AL41" s="508"/>
      <c r="AM41" s="508"/>
    </row>
    <row r="42" customFormat="false" ht="11.1" hidden="false" customHeight="true" outlineLevel="0" collapsed="false">
      <c r="A42" s="389"/>
      <c r="B42" s="389"/>
      <c r="C42" s="515" t="str">
        <f aca="true">IF(Build!AC654,OFFSET(Spells!V$2,Build!AC654,0),"")</f>
        <v/>
      </c>
      <c r="D42" s="515"/>
      <c r="E42" s="515"/>
      <c r="F42" s="515"/>
      <c r="G42" s="515"/>
      <c r="H42" s="515"/>
      <c r="I42" s="515"/>
      <c r="J42" s="515"/>
      <c r="K42" s="515"/>
      <c r="L42" s="354" t="str">
        <f aca="true">IF(Build!AC654,OFFSET(Spells!W$2,Build!AC654,0),"")</f>
        <v/>
      </c>
      <c r="M42" s="354"/>
      <c r="N42" s="354" t="str">
        <f aca="true">IF(Build!AC654,OFFSET(Spells!X$2,Build!AC654,0),"")</f>
        <v/>
      </c>
      <c r="O42" s="354"/>
      <c r="P42" s="354" t="str">
        <f aca="true">IF(Build!AC654,OFFSET(Spells!Y$2,Build!AC654,0),"")</f>
        <v/>
      </c>
      <c r="Q42" s="354"/>
      <c r="R42" s="354" t="str">
        <f aca="true">IF(Build!AC654,OFFSET(Spells!Z$2,Build!AC654,0),"")</f>
        <v/>
      </c>
      <c r="S42" s="354"/>
      <c r="T42" s="354" t="str">
        <f aca="true">IF(Build!AC654,OFFSET(Spells!AA$2,Build!AC654,0),"")</f>
        <v/>
      </c>
      <c r="U42" s="354"/>
      <c r="V42" s="354"/>
      <c r="W42" s="354" t="str">
        <f aca="true">IF(Build!AC654,OFFSET(Spells!AC$2,Build!AC654,0),"")</f>
        <v/>
      </c>
      <c r="X42" s="354"/>
      <c r="Y42" s="354"/>
      <c r="Z42" s="514" t="str">
        <f aca="false">Build!AI654</f>
        <v>Effect</v>
      </c>
      <c r="AA42" s="514"/>
      <c r="AB42" s="514"/>
      <c r="AC42" s="516" t="e">
        <f aca="false">IF(Z42&lt;&gt;"",VLOOKUP(LEFT(Z42,FIND("+",Z42&amp;"+")-1),Build!X$596:Y$603,2,0)+IF(LEN(Z42)&gt;2,MID(Z42,FIND("+",Z42&amp;"+")+1,2),0),"")</f>
        <v>#N/A</v>
      </c>
      <c r="AD42" s="516"/>
      <c r="AE42" s="517" t="e">
        <f aca="true">IF(AC42&lt;&gt;"",OFFSET(ActionDice,AC42,0),"")</f>
        <v>#N/A</v>
      </c>
      <c r="AF42" s="517"/>
      <c r="AG42" s="517"/>
      <c r="AH42" s="517"/>
      <c r="AI42" s="517"/>
      <c r="AJ42" s="517"/>
      <c r="AK42" s="508" t="str">
        <f aca="true">IF(Build!AC654,OFFSET(Spells!AD$2,Build!AC654,0),"")</f>
        <v/>
      </c>
      <c r="AL42" s="508"/>
      <c r="AM42" s="508"/>
    </row>
    <row r="43" customFormat="false" ht="11.1" hidden="false" customHeight="true" outlineLevel="0" collapsed="false">
      <c r="A43" s="389"/>
      <c r="B43" s="389"/>
      <c r="C43" s="515" t="str">
        <f aca="true">IF(Build!AC655,OFFSET(Spells!V$2,Build!AC655,0),"")</f>
        <v/>
      </c>
      <c r="D43" s="515"/>
      <c r="E43" s="515"/>
      <c r="F43" s="515"/>
      <c r="G43" s="515"/>
      <c r="H43" s="515"/>
      <c r="I43" s="515"/>
      <c r="J43" s="515"/>
      <c r="K43" s="515"/>
      <c r="L43" s="354" t="str">
        <f aca="true">IF(Build!AC655,OFFSET(Spells!W$2,Build!AC655,0),"")</f>
        <v/>
      </c>
      <c r="M43" s="354"/>
      <c r="N43" s="354" t="str">
        <f aca="true">IF(Build!AC655,OFFSET(Spells!X$2,Build!AC655,0),"")</f>
        <v/>
      </c>
      <c r="O43" s="354"/>
      <c r="P43" s="354" t="str">
        <f aca="true">IF(Build!AC655,OFFSET(Spells!Y$2,Build!AC655,0),"")</f>
        <v/>
      </c>
      <c r="Q43" s="354"/>
      <c r="R43" s="354" t="str">
        <f aca="true">IF(Build!AC655,OFFSET(Spells!Z$2,Build!AC655,0),"")</f>
        <v/>
      </c>
      <c r="S43" s="354"/>
      <c r="T43" s="354" t="str">
        <f aca="true">IF(Build!AC655,OFFSET(Spells!AA$2,Build!AC655,0),"")</f>
        <v/>
      </c>
      <c r="U43" s="354"/>
      <c r="V43" s="354"/>
      <c r="W43" s="354" t="str">
        <f aca="true">IF(Build!AC655,OFFSET(Spells!AC$2,Build!AC655,0),"")</f>
        <v/>
      </c>
      <c r="X43" s="354"/>
      <c r="Y43" s="354"/>
      <c r="Z43" s="514" t="str">
        <f aca="false">Build!AI655</f>
        <v>Effect</v>
      </c>
      <c r="AA43" s="514"/>
      <c r="AB43" s="514"/>
      <c r="AC43" s="516" t="e">
        <f aca="false">IF(Z43&lt;&gt;"",VLOOKUP(LEFT(Z43,FIND("+",Z43&amp;"+")-1),Build!X$596:Y$603,2,0)+IF(LEN(Z43)&gt;2,MID(Z43,FIND("+",Z43&amp;"+")+1,2),0),"")</f>
        <v>#N/A</v>
      </c>
      <c r="AD43" s="516"/>
      <c r="AE43" s="517" t="e">
        <f aca="true">IF(AC43&lt;&gt;"",OFFSET(ActionDice,AC43,0),"")</f>
        <v>#N/A</v>
      </c>
      <c r="AF43" s="517"/>
      <c r="AG43" s="517"/>
      <c r="AH43" s="517"/>
      <c r="AI43" s="517"/>
      <c r="AJ43" s="517"/>
      <c r="AK43" s="508" t="str">
        <f aca="true">IF(Build!AC655,OFFSET(Spells!AD$2,Build!AC655,0),"")</f>
        <v/>
      </c>
      <c r="AL43" s="508"/>
      <c r="AM43" s="508"/>
    </row>
    <row r="44" customFormat="false" ht="11.1" hidden="false" customHeight="true" outlineLevel="0" collapsed="false">
      <c r="A44" s="389"/>
      <c r="B44" s="389"/>
      <c r="C44" s="515" t="str">
        <f aca="true">IF(Build!AC656,OFFSET(Spells!V$2,Build!AC656,0),"")</f>
        <v/>
      </c>
      <c r="D44" s="515"/>
      <c r="E44" s="515"/>
      <c r="F44" s="515"/>
      <c r="G44" s="515"/>
      <c r="H44" s="515"/>
      <c r="I44" s="515"/>
      <c r="J44" s="515"/>
      <c r="K44" s="515"/>
      <c r="L44" s="354" t="str">
        <f aca="true">IF(Build!AC656,OFFSET(Spells!W$2,Build!AC656,0),"")</f>
        <v/>
      </c>
      <c r="M44" s="354"/>
      <c r="N44" s="354" t="str">
        <f aca="true">IF(Build!AC656,OFFSET(Spells!X$2,Build!AC656,0),"")</f>
        <v/>
      </c>
      <c r="O44" s="354"/>
      <c r="P44" s="354" t="str">
        <f aca="true">IF(Build!AC656,OFFSET(Spells!Y$2,Build!AC656,0),"")</f>
        <v/>
      </c>
      <c r="Q44" s="354"/>
      <c r="R44" s="354" t="str">
        <f aca="true">IF(Build!AC656,OFFSET(Spells!Z$2,Build!AC656,0),"")</f>
        <v/>
      </c>
      <c r="S44" s="354"/>
      <c r="T44" s="354" t="str">
        <f aca="true">IF(Build!AC656,OFFSET(Spells!AA$2,Build!AC656,0),"")</f>
        <v/>
      </c>
      <c r="U44" s="354"/>
      <c r="V44" s="354"/>
      <c r="W44" s="354" t="str">
        <f aca="true">IF(Build!AC656,OFFSET(Spells!AC$2,Build!AC656,0),"")</f>
        <v/>
      </c>
      <c r="X44" s="354"/>
      <c r="Y44" s="354"/>
      <c r="Z44" s="514" t="str">
        <f aca="false">Build!AI656</f>
        <v>Effect</v>
      </c>
      <c r="AA44" s="514"/>
      <c r="AB44" s="514"/>
      <c r="AC44" s="516" t="e">
        <f aca="false">IF(Z44&lt;&gt;"",VLOOKUP(LEFT(Z44,FIND("+",Z44&amp;"+")-1),Build!X$596:Y$603,2,0)+IF(LEN(Z44)&gt;2,MID(Z44,FIND("+",Z44&amp;"+")+1,2),0),"")</f>
        <v>#N/A</v>
      </c>
      <c r="AD44" s="516"/>
      <c r="AE44" s="517" t="e">
        <f aca="true">IF(AC44&lt;&gt;"",OFFSET(ActionDice,AC44,0),"")</f>
        <v>#N/A</v>
      </c>
      <c r="AF44" s="517"/>
      <c r="AG44" s="517"/>
      <c r="AH44" s="517"/>
      <c r="AI44" s="517"/>
      <c r="AJ44" s="517"/>
      <c r="AK44" s="508" t="str">
        <f aca="true">IF(Build!AC656,OFFSET(Spells!AD$2,Build!AC656,0),"")</f>
        <v/>
      </c>
      <c r="AL44" s="508"/>
      <c r="AM44" s="508"/>
    </row>
    <row r="45" customFormat="false" ht="11.1" hidden="false" customHeight="true" outlineLevel="0" collapsed="false">
      <c r="A45" s="389"/>
      <c r="B45" s="389"/>
      <c r="C45" s="515" t="str">
        <f aca="true">IF(Build!AC657,OFFSET(Spells!V$2,Build!AC657,0),"")</f>
        <v/>
      </c>
      <c r="D45" s="515"/>
      <c r="E45" s="515"/>
      <c r="F45" s="515"/>
      <c r="G45" s="515"/>
      <c r="H45" s="515"/>
      <c r="I45" s="515"/>
      <c r="J45" s="515"/>
      <c r="K45" s="515"/>
      <c r="L45" s="354" t="str">
        <f aca="true">IF(Build!AC657,OFFSET(Spells!W$2,Build!AC657,0),"")</f>
        <v/>
      </c>
      <c r="M45" s="354"/>
      <c r="N45" s="354" t="str">
        <f aca="true">IF(Build!AC657,OFFSET(Spells!X$2,Build!AC657,0),"")</f>
        <v/>
      </c>
      <c r="O45" s="354"/>
      <c r="P45" s="354" t="str">
        <f aca="true">IF(Build!AC657,OFFSET(Spells!Y$2,Build!AC657,0),"")</f>
        <v/>
      </c>
      <c r="Q45" s="354"/>
      <c r="R45" s="354" t="str">
        <f aca="true">IF(Build!AC657,OFFSET(Spells!Z$2,Build!AC657,0),"")</f>
        <v/>
      </c>
      <c r="S45" s="354"/>
      <c r="T45" s="354" t="str">
        <f aca="true">IF(Build!AC657,OFFSET(Spells!AA$2,Build!AC657,0),"")</f>
        <v/>
      </c>
      <c r="U45" s="354"/>
      <c r="V45" s="354"/>
      <c r="W45" s="354" t="str">
        <f aca="true">IF(Build!AC657,OFFSET(Spells!AC$2,Build!AC657,0),"")</f>
        <v/>
      </c>
      <c r="X45" s="354"/>
      <c r="Y45" s="354"/>
      <c r="Z45" s="514" t="str">
        <f aca="false">Build!AI657</f>
        <v>Effect</v>
      </c>
      <c r="AA45" s="514"/>
      <c r="AB45" s="514"/>
      <c r="AC45" s="516" t="e">
        <f aca="false">IF(Z45&lt;&gt;"",VLOOKUP(LEFT(Z45,FIND("+",Z45&amp;"+")-1),Build!X$596:Y$603,2,0)+IF(LEN(Z45)&gt;2,MID(Z45,FIND("+",Z45&amp;"+")+1,2),0),"")</f>
        <v>#N/A</v>
      </c>
      <c r="AD45" s="516"/>
      <c r="AE45" s="517" t="e">
        <f aca="true">IF(AC45&lt;&gt;"",OFFSET(ActionDice,AC45,0),"")</f>
        <v>#N/A</v>
      </c>
      <c r="AF45" s="517"/>
      <c r="AG45" s="517"/>
      <c r="AH45" s="517"/>
      <c r="AI45" s="517"/>
      <c r="AJ45" s="517"/>
      <c r="AK45" s="508" t="str">
        <f aca="true">IF(Build!AC657,OFFSET(Spells!AD$2,Build!AC657,0),"")</f>
        <v/>
      </c>
      <c r="AL45" s="508"/>
      <c r="AM45" s="508"/>
    </row>
    <row r="46" customFormat="false" ht="11.1" hidden="false" customHeight="true" outlineLevel="0" collapsed="false">
      <c r="A46" s="389"/>
      <c r="B46" s="389"/>
      <c r="C46" s="515" t="str">
        <f aca="true">IF(Build!AC658,OFFSET(Spells!V$2,Build!AC658,0),"")</f>
        <v/>
      </c>
      <c r="D46" s="515"/>
      <c r="E46" s="515"/>
      <c r="F46" s="515"/>
      <c r="G46" s="515"/>
      <c r="H46" s="515"/>
      <c r="I46" s="515"/>
      <c r="J46" s="515"/>
      <c r="K46" s="515"/>
      <c r="L46" s="354" t="str">
        <f aca="true">IF(Build!AC658,OFFSET(Spells!W$2,Build!AC658,0),"")</f>
        <v/>
      </c>
      <c r="M46" s="354"/>
      <c r="N46" s="354" t="str">
        <f aca="true">IF(Build!AC658,OFFSET(Spells!X$2,Build!AC658,0),"")</f>
        <v/>
      </c>
      <c r="O46" s="354"/>
      <c r="P46" s="354" t="str">
        <f aca="true">IF(Build!AC658,OFFSET(Spells!Y$2,Build!AC658,0),"")</f>
        <v/>
      </c>
      <c r="Q46" s="354"/>
      <c r="R46" s="354" t="str">
        <f aca="true">IF(Build!AC658,OFFSET(Spells!Z$2,Build!AC658,0),"")</f>
        <v/>
      </c>
      <c r="S46" s="354"/>
      <c r="T46" s="354" t="str">
        <f aca="true">IF(Build!AC658,OFFSET(Spells!AA$2,Build!AC658,0),"")</f>
        <v/>
      </c>
      <c r="U46" s="354"/>
      <c r="V46" s="354"/>
      <c r="W46" s="354" t="str">
        <f aca="true">IF(Build!AC658,OFFSET(Spells!AC$2,Build!AC658,0),"")</f>
        <v/>
      </c>
      <c r="X46" s="354"/>
      <c r="Y46" s="354"/>
      <c r="Z46" s="514" t="str">
        <f aca="false">Build!AI658</f>
        <v>Effect</v>
      </c>
      <c r="AA46" s="514"/>
      <c r="AB46" s="514"/>
      <c r="AC46" s="516" t="e">
        <f aca="false">IF(Z46&lt;&gt;"",VLOOKUP(LEFT(Z46,FIND("+",Z46&amp;"+")-1),Build!X$596:Y$603,2,0)+IF(LEN(Z46)&gt;2,MID(Z46,FIND("+",Z46&amp;"+")+1,2),0),"")</f>
        <v>#N/A</v>
      </c>
      <c r="AD46" s="516"/>
      <c r="AE46" s="517" t="e">
        <f aca="true">IF(AC46&lt;&gt;"",OFFSET(ActionDice,AC46,0),"")</f>
        <v>#N/A</v>
      </c>
      <c r="AF46" s="517"/>
      <c r="AG46" s="517"/>
      <c r="AH46" s="517"/>
      <c r="AI46" s="517"/>
      <c r="AJ46" s="517"/>
      <c r="AK46" s="508" t="str">
        <f aca="true">IF(Build!AC658,OFFSET(Spells!AD$2,Build!AC658,0),"")</f>
        <v/>
      </c>
      <c r="AL46" s="508"/>
      <c r="AM46" s="508"/>
    </row>
    <row r="47" customFormat="false" ht="11.1" hidden="false" customHeight="true" outlineLevel="0" collapsed="false">
      <c r="A47" s="389"/>
      <c r="B47" s="389"/>
      <c r="C47" s="515" t="str">
        <f aca="true">IF(Build!AC659,OFFSET(Spells!V$2,Build!AC659,0),"")</f>
        <v/>
      </c>
      <c r="D47" s="515"/>
      <c r="E47" s="515"/>
      <c r="F47" s="515"/>
      <c r="G47" s="515"/>
      <c r="H47" s="515"/>
      <c r="I47" s="515"/>
      <c r="J47" s="515"/>
      <c r="K47" s="515"/>
      <c r="L47" s="354" t="str">
        <f aca="true">IF(Build!AC659,OFFSET(Spells!W$2,Build!AC659,0),"")</f>
        <v/>
      </c>
      <c r="M47" s="354"/>
      <c r="N47" s="354" t="str">
        <f aca="true">IF(Build!AC659,OFFSET(Spells!X$2,Build!AC659,0),"")</f>
        <v/>
      </c>
      <c r="O47" s="354"/>
      <c r="P47" s="354" t="str">
        <f aca="true">IF(Build!AC659,OFFSET(Spells!Y$2,Build!AC659,0),"")</f>
        <v/>
      </c>
      <c r="Q47" s="354"/>
      <c r="R47" s="354" t="str">
        <f aca="true">IF(Build!AC659,OFFSET(Spells!Z$2,Build!AC659,0),"")</f>
        <v/>
      </c>
      <c r="S47" s="354"/>
      <c r="T47" s="354" t="str">
        <f aca="true">IF(Build!AC659,OFFSET(Spells!AA$2,Build!AC659,0),"")</f>
        <v/>
      </c>
      <c r="U47" s="354"/>
      <c r="V47" s="354"/>
      <c r="W47" s="354" t="str">
        <f aca="true">IF(Build!AC659,OFFSET(Spells!AC$2,Build!AC659,0),"")</f>
        <v/>
      </c>
      <c r="X47" s="354"/>
      <c r="Y47" s="354"/>
      <c r="Z47" s="514" t="str">
        <f aca="false">Build!AI659</f>
        <v>Effect</v>
      </c>
      <c r="AA47" s="514"/>
      <c r="AB47" s="514"/>
      <c r="AC47" s="516" t="e">
        <f aca="false">IF(Z47&lt;&gt;"",VLOOKUP(LEFT(Z47,FIND("+",Z47&amp;"+")-1),Build!X$596:Y$603,2,0)+IF(LEN(Z47)&gt;2,MID(Z47,FIND("+",Z47&amp;"+")+1,2),0),"")</f>
        <v>#N/A</v>
      </c>
      <c r="AD47" s="516"/>
      <c r="AE47" s="517" t="e">
        <f aca="true">IF(AC47&lt;&gt;"",OFFSET(ActionDice,AC47,0),"")</f>
        <v>#N/A</v>
      </c>
      <c r="AF47" s="517"/>
      <c r="AG47" s="517"/>
      <c r="AH47" s="517"/>
      <c r="AI47" s="517"/>
      <c r="AJ47" s="517"/>
      <c r="AK47" s="508" t="str">
        <f aca="true">IF(Build!AC659,OFFSET(Spells!AD$2,Build!AC659,0),"")</f>
        <v/>
      </c>
      <c r="AL47" s="508"/>
      <c r="AM47" s="508"/>
    </row>
    <row r="48" customFormat="false" ht="11.1" hidden="false" customHeight="true" outlineLevel="0" collapsed="false">
      <c r="A48" s="389"/>
      <c r="B48" s="389"/>
      <c r="C48" s="515" t="str">
        <f aca="true">IF(Build!AC660,OFFSET(Spells!V$2,Build!AC660,0),"")</f>
        <v/>
      </c>
      <c r="D48" s="515"/>
      <c r="E48" s="515"/>
      <c r="F48" s="515"/>
      <c r="G48" s="515"/>
      <c r="H48" s="515"/>
      <c r="I48" s="515"/>
      <c r="J48" s="515"/>
      <c r="K48" s="515"/>
      <c r="L48" s="354" t="str">
        <f aca="true">IF(Build!AC660,OFFSET(Spells!W$2,Build!AC660,0),"")</f>
        <v/>
      </c>
      <c r="M48" s="354"/>
      <c r="N48" s="354" t="str">
        <f aca="true">IF(Build!AC660,OFFSET(Spells!X$2,Build!AC660,0),"")</f>
        <v/>
      </c>
      <c r="O48" s="354"/>
      <c r="P48" s="354" t="str">
        <f aca="true">IF(Build!AC660,OFFSET(Spells!Y$2,Build!AC660,0),"")</f>
        <v/>
      </c>
      <c r="Q48" s="354"/>
      <c r="R48" s="354" t="str">
        <f aca="true">IF(Build!AC660,OFFSET(Spells!Z$2,Build!AC660,0),"")</f>
        <v/>
      </c>
      <c r="S48" s="354"/>
      <c r="T48" s="354" t="str">
        <f aca="true">IF(Build!AC660,OFFSET(Spells!AA$2,Build!AC660,0),"")</f>
        <v/>
      </c>
      <c r="U48" s="354"/>
      <c r="V48" s="354"/>
      <c r="W48" s="354" t="str">
        <f aca="true">IF(Build!AC660,OFFSET(Spells!AC$2,Build!AC660,0),"")</f>
        <v/>
      </c>
      <c r="X48" s="354"/>
      <c r="Y48" s="354"/>
      <c r="Z48" s="514" t="str">
        <f aca="false">Build!AI660</f>
        <v>Effect</v>
      </c>
      <c r="AA48" s="514"/>
      <c r="AB48" s="514"/>
      <c r="AC48" s="516" t="e">
        <f aca="false">IF(Z48&lt;&gt;"",VLOOKUP(LEFT(Z48,FIND("+",Z48&amp;"+")-1),Build!X$596:Y$603,2,0)+IF(LEN(Z48)&gt;2,MID(Z48,FIND("+",Z48&amp;"+")+1,2),0),"")</f>
        <v>#N/A</v>
      </c>
      <c r="AD48" s="516"/>
      <c r="AE48" s="517" t="e">
        <f aca="true">IF(AC48&lt;&gt;"",OFFSET(ActionDice,AC48,0),"")</f>
        <v>#N/A</v>
      </c>
      <c r="AF48" s="517"/>
      <c r="AG48" s="517"/>
      <c r="AH48" s="517"/>
      <c r="AI48" s="517"/>
      <c r="AJ48" s="517"/>
      <c r="AK48" s="508" t="str">
        <f aca="true">IF(Build!AC660,OFFSET(Spells!AD$2,Build!AC660,0),"")</f>
        <v/>
      </c>
      <c r="AL48" s="508"/>
      <c r="AM48" s="508"/>
    </row>
    <row r="49" customFormat="false" ht="11.1" hidden="false" customHeight="true" outlineLevel="0" collapsed="false">
      <c r="A49" s="389"/>
      <c r="B49" s="389"/>
      <c r="C49" s="515" t="str">
        <f aca="true">IF(Build!AC661,OFFSET(Spells!V$2,Build!AC661,0),"")</f>
        <v/>
      </c>
      <c r="D49" s="515"/>
      <c r="E49" s="515"/>
      <c r="F49" s="515"/>
      <c r="G49" s="515"/>
      <c r="H49" s="515"/>
      <c r="I49" s="515"/>
      <c r="J49" s="515"/>
      <c r="K49" s="515"/>
      <c r="L49" s="354" t="str">
        <f aca="true">IF(Build!AC661,OFFSET(Spells!W$2,Build!AC661,0),"")</f>
        <v/>
      </c>
      <c r="M49" s="354"/>
      <c r="N49" s="354" t="str">
        <f aca="true">IF(Build!AC661,OFFSET(Spells!X$2,Build!AC661,0),"")</f>
        <v/>
      </c>
      <c r="O49" s="354"/>
      <c r="P49" s="354" t="str">
        <f aca="true">IF(Build!AC661,OFFSET(Spells!Y$2,Build!AC661,0),"")</f>
        <v/>
      </c>
      <c r="Q49" s="354"/>
      <c r="R49" s="354" t="str">
        <f aca="true">IF(Build!AC661,OFFSET(Spells!Z$2,Build!AC661,0),"")</f>
        <v/>
      </c>
      <c r="S49" s="354"/>
      <c r="T49" s="354" t="str">
        <f aca="true">IF(Build!AC661,OFFSET(Spells!AA$2,Build!AC661,0),"")</f>
        <v/>
      </c>
      <c r="U49" s="354"/>
      <c r="V49" s="354"/>
      <c r="W49" s="354" t="str">
        <f aca="true">IF(Build!AC661,OFFSET(Spells!AC$2,Build!AC661,0),"")</f>
        <v/>
      </c>
      <c r="X49" s="354"/>
      <c r="Y49" s="354"/>
      <c r="Z49" s="514" t="str">
        <f aca="false">Build!AI661</f>
        <v>Effect</v>
      </c>
      <c r="AA49" s="514"/>
      <c r="AB49" s="514"/>
      <c r="AC49" s="516" t="e">
        <f aca="false">IF(Z49&lt;&gt;"",VLOOKUP(LEFT(Z49,FIND("+",Z49&amp;"+")-1),Build!X$596:Y$603,2,0)+IF(LEN(Z49)&gt;2,MID(Z49,FIND("+",Z49&amp;"+")+1,2),0),"")</f>
        <v>#N/A</v>
      </c>
      <c r="AD49" s="516"/>
      <c r="AE49" s="517" t="e">
        <f aca="true">IF(AC49&lt;&gt;"",OFFSET(ActionDice,AC49,0),"")</f>
        <v>#N/A</v>
      </c>
      <c r="AF49" s="517"/>
      <c r="AG49" s="517"/>
      <c r="AH49" s="517"/>
      <c r="AI49" s="517"/>
      <c r="AJ49" s="517"/>
      <c r="AK49" s="508" t="str">
        <f aca="true">IF(Build!AC661,OFFSET(Spells!AD$2,Build!AC661,0),"")</f>
        <v/>
      </c>
      <c r="AL49" s="508"/>
      <c r="AM49" s="508"/>
    </row>
    <row r="50" customFormat="false" ht="11.1" hidden="false" customHeight="true" outlineLevel="0" collapsed="false">
      <c r="A50" s="389"/>
      <c r="B50" s="389"/>
      <c r="C50" s="515" t="str">
        <f aca="true">IF(Build!AC662,OFFSET(Spells!V$2,Build!AC662,0),"")</f>
        <v/>
      </c>
      <c r="D50" s="515"/>
      <c r="E50" s="515"/>
      <c r="F50" s="515"/>
      <c r="G50" s="515"/>
      <c r="H50" s="515"/>
      <c r="I50" s="515"/>
      <c r="J50" s="515"/>
      <c r="K50" s="515"/>
      <c r="L50" s="354" t="str">
        <f aca="true">IF(Build!AC662,OFFSET(Spells!W$2,Build!AC662,0),"")</f>
        <v/>
      </c>
      <c r="M50" s="354"/>
      <c r="N50" s="354" t="str">
        <f aca="true">IF(Build!AC662,OFFSET(Spells!X$2,Build!AC662,0),"")</f>
        <v/>
      </c>
      <c r="O50" s="354"/>
      <c r="P50" s="354" t="str">
        <f aca="true">IF(Build!AC662,OFFSET(Spells!Y$2,Build!AC662,0),"")</f>
        <v/>
      </c>
      <c r="Q50" s="354"/>
      <c r="R50" s="354" t="str">
        <f aca="true">IF(Build!AC662,OFFSET(Spells!Z$2,Build!AC662,0),"")</f>
        <v/>
      </c>
      <c r="S50" s="354"/>
      <c r="T50" s="354" t="str">
        <f aca="true">IF(Build!AC662,OFFSET(Spells!AA$2,Build!AC662,0),"")</f>
        <v/>
      </c>
      <c r="U50" s="354"/>
      <c r="V50" s="354"/>
      <c r="W50" s="354" t="str">
        <f aca="true">IF(Build!AC662,OFFSET(Spells!AC$2,Build!AC662,0),"")</f>
        <v/>
      </c>
      <c r="X50" s="354"/>
      <c r="Y50" s="354"/>
      <c r="Z50" s="514" t="str">
        <f aca="false">Build!AI662</f>
        <v>Effect</v>
      </c>
      <c r="AA50" s="514"/>
      <c r="AB50" s="514"/>
      <c r="AC50" s="516" t="e">
        <f aca="false">IF(Z50&lt;&gt;"",VLOOKUP(LEFT(Z50,FIND("+",Z50&amp;"+")-1),Build!X$596:Y$603,2,0)+IF(LEN(Z50)&gt;2,MID(Z50,FIND("+",Z50&amp;"+")+1,2),0),"")</f>
        <v>#N/A</v>
      </c>
      <c r="AD50" s="516"/>
      <c r="AE50" s="517" t="e">
        <f aca="true">IF(AC50&lt;&gt;"",OFFSET(ActionDice,AC50,0),"")</f>
        <v>#N/A</v>
      </c>
      <c r="AF50" s="517"/>
      <c r="AG50" s="517"/>
      <c r="AH50" s="517"/>
      <c r="AI50" s="517"/>
      <c r="AJ50" s="517"/>
      <c r="AK50" s="508" t="str">
        <f aca="true">IF(Build!AC662,OFFSET(Spells!AD$2,Build!AC662,0),"")</f>
        <v/>
      </c>
      <c r="AL50" s="508"/>
      <c r="AM50" s="508"/>
    </row>
    <row r="51" customFormat="false" ht="11.1" hidden="false" customHeight="true" outlineLevel="0" collapsed="false">
      <c r="A51" s="389"/>
      <c r="B51" s="389"/>
      <c r="C51" s="515" t="str">
        <f aca="true">IF(Build!AC663,OFFSET(Spells!V$2,Build!AC663,0),"")</f>
        <v/>
      </c>
      <c r="D51" s="515"/>
      <c r="E51" s="515"/>
      <c r="F51" s="515"/>
      <c r="G51" s="515"/>
      <c r="H51" s="515"/>
      <c r="I51" s="515"/>
      <c r="J51" s="515"/>
      <c r="K51" s="515"/>
      <c r="L51" s="354" t="str">
        <f aca="true">IF(Build!AC663,OFFSET(Spells!W$2,Build!AC663,0),"")</f>
        <v/>
      </c>
      <c r="M51" s="354"/>
      <c r="N51" s="354" t="str">
        <f aca="true">IF(Build!AC663,OFFSET(Spells!X$2,Build!AC663,0),"")</f>
        <v/>
      </c>
      <c r="O51" s="354"/>
      <c r="P51" s="354" t="str">
        <f aca="true">IF(Build!AC663,OFFSET(Spells!Y$2,Build!AC663,0),"")</f>
        <v/>
      </c>
      <c r="Q51" s="354"/>
      <c r="R51" s="354" t="str">
        <f aca="true">IF(Build!AC663,OFFSET(Spells!Z$2,Build!AC663,0),"")</f>
        <v/>
      </c>
      <c r="S51" s="354"/>
      <c r="T51" s="354" t="str">
        <f aca="true">IF(Build!AC663,OFFSET(Spells!AA$2,Build!AC663,0),"")</f>
        <v/>
      </c>
      <c r="U51" s="354"/>
      <c r="V51" s="354"/>
      <c r="W51" s="354" t="str">
        <f aca="true">IF(Build!AC663,OFFSET(Spells!AC$2,Build!AC663,0),"")</f>
        <v/>
      </c>
      <c r="X51" s="354"/>
      <c r="Y51" s="354"/>
      <c r="Z51" s="514" t="str">
        <f aca="false">Build!AI663</f>
        <v>Effect</v>
      </c>
      <c r="AA51" s="514"/>
      <c r="AB51" s="514"/>
      <c r="AC51" s="516" t="e">
        <f aca="false">IF(Z51&lt;&gt;"",VLOOKUP(LEFT(Z51,FIND("+",Z51&amp;"+")-1),Build!X$596:Y$603,2,0)+IF(LEN(Z51)&gt;2,MID(Z51,FIND("+",Z51&amp;"+")+1,2),0),"")</f>
        <v>#N/A</v>
      </c>
      <c r="AD51" s="516"/>
      <c r="AE51" s="517" t="e">
        <f aca="true">IF(AC51&lt;&gt;"",OFFSET(ActionDice,AC51,0),"")</f>
        <v>#N/A</v>
      </c>
      <c r="AF51" s="517"/>
      <c r="AG51" s="517"/>
      <c r="AH51" s="517"/>
      <c r="AI51" s="517"/>
      <c r="AJ51" s="517"/>
      <c r="AK51" s="508" t="str">
        <f aca="true">IF(Build!AC663,OFFSET(Spells!AD$2,Build!AC663,0),"")</f>
        <v/>
      </c>
      <c r="AL51" s="508"/>
      <c r="AM51" s="508"/>
    </row>
    <row r="52" customFormat="false" ht="11.1" hidden="false" customHeight="true" outlineLevel="0" collapsed="false">
      <c r="A52" s="389"/>
      <c r="B52" s="389"/>
      <c r="C52" s="515" t="str">
        <f aca="true">IF(Build!AC664,OFFSET(Spells!V$2,Build!AC664,0),"")</f>
        <v/>
      </c>
      <c r="D52" s="515"/>
      <c r="E52" s="515"/>
      <c r="F52" s="515"/>
      <c r="G52" s="515"/>
      <c r="H52" s="515"/>
      <c r="I52" s="515"/>
      <c r="J52" s="515"/>
      <c r="K52" s="515"/>
      <c r="L52" s="354" t="str">
        <f aca="true">IF(Build!AC664,OFFSET(Spells!W$2,Build!AC664,0),"")</f>
        <v/>
      </c>
      <c r="M52" s="354"/>
      <c r="N52" s="354" t="str">
        <f aca="true">IF(Build!AC664,OFFSET(Spells!X$2,Build!AC664,0),"")</f>
        <v/>
      </c>
      <c r="O52" s="354"/>
      <c r="P52" s="354" t="str">
        <f aca="true">IF(Build!AC664,OFFSET(Spells!Y$2,Build!AC664,0),"")</f>
        <v/>
      </c>
      <c r="Q52" s="354"/>
      <c r="R52" s="354" t="str">
        <f aca="true">IF(Build!AC664,OFFSET(Spells!Z$2,Build!AC664,0),"")</f>
        <v/>
      </c>
      <c r="S52" s="354"/>
      <c r="T52" s="354" t="str">
        <f aca="true">IF(Build!AC664,OFFSET(Spells!AA$2,Build!AC664,0),"")</f>
        <v/>
      </c>
      <c r="U52" s="354"/>
      <c r="V52" s="354"/>
      <c r="W52" s="354" t="str">
        <f aca="true">IF(Build!AC664,OFFSET(Spells!AC$2,Build!AC664,0),"")</f>
        <v/>
      </c>
      <c r="X52" s="354"/>
      <c r="Y52" s="354"/>
      <c r="Z52" s="514" t="str">
        <f aca="false">Build!AI664</f>
        <v>Effect</v>
      </c>
      <c r="AA52" s="514"/>
      <c r="AB52" s="514"/>
      <c r="AC52" s="516" t="e">
        <f aca="false">IF(Z52&lt;&gt;"",VLOOKUP(LEFT(Z52,FIND("+",Z52&amp;"+")-1),Build!X$596:Y$603,2,0)+IF(LEN(Z52)&gt;2,MID(Z52,FIND("+",Z52&amp;"+")+1,2),0),"")</f>
        <v>#N/A</v>
      </c>
      <c r="AD52" s="516"/>
      <c r="AE52" s="517" t="e">
        <f aca="true">IF(AC52&lt;&gt;"",OFFSET(ActionDice,AC52,0),"")</f>
        <v>#N/A</v>
      </c>
      <c r="AF52" s="517"/>
      <c r="AG52" s="517"/>
      <c r="AH52" s="517"/>
      <c r="AI52" s="517"/>
      <c r="AJ52" s="517"/>
      <c r="AK52" s="508" t="str">
        <f aca="true">IF(Build!AC664,OFFSET(Spells!AD$2,Build!AC664,0),"")</f>
        <v/>
      </c>
      <c r="AL52" s="508"/>
      <c r="AM52" s="508"/>
    </row>
    <row r="53" customFormat="false" ht="11.1" hidden="false" customHeight="true" outlineLevel="0" collapsed="false">
      <c r="A53" s="389"/>
      <c r="B53" s="389"/>
      <c r="C53" s="515" t="str">
        <f aca="true">IF(Build!AC665,OFFSET(Spells!V$2,Build!AC665,0),"")</f>
        <v/>
      </c>
      <c r="D53" s="515"/>
      <c r="E53" s="515"/>
      <c r="F53" s="515"/>
      <c r="G53" s="515"/>
      <c r="H53" s="515"/>
      <c r="I53" s="515"/>
      <c r="J53" s="515"/>
      <c r="K53" s="515"/>
      <c r="L53" s="354" t="str">
        <f aca="true">IF(Build!AC665,OFFSET(Spells!W$2,Build!AC665,0),"")</f>
        <v/>
      </c>
      <c r="M53" s="354"/>
      <c r="N53" s="354" t="str">
        <f aca="true">IF(Build!AC665,OFFSET(Spells!X$2,Build!AC665,0),"")</f>
        <v/>
      </c>
      <c r="O53" s="354"/>
      <c r="P53" s="354" t="str">
        <f aca="true">IF(Build!AC665,OFFSET(Spells!Y$2,Build!AC665,0),"")</f>
        <v/>
      </c>
      <c r="Q53" s="354"/>
      <c r="R53" s="354" t="str">
        <f aca="true">IF(Build!AC665,OFFSET(Spells!Z$2,Build!AC665,0),"")</f>
        <v/>
      </c>
      <c r="S53" s="354"/>
      <c r="T53" s="354" t="str">
        <f aca="true">IF(Build!AC665,OFFSET(Spells!AA$2,Build!AC665,0),"")</f>
        <v/>
      </c>
      <c r="U53" s="354"/>
      <c r="V53" s="354"/>
      <c r="W53" s="354" t="str">
        <f aca="true">IF(Build!AC665,OFFSET(Spells!AC$2,Build!AC665,0),"")</f>
        <v/>
      </c>
      <c r="X53" s="354"/>
      <c r="Y53" s="354"/>
      <c r="Z53" s="514" t="str">
        <f aca="false">Build!AI665</f>
        <v>Effect</v>
      </c>
      <c r="AA53" s="514"/>
      <c r="AB53" s="514"/>
      <c r="AC53" s="516" t="e">
        <f aca="false">IF(Z53&lt;&gt;"",VLOOKUP(LEFT(Z53,FIND("+",Z53&amp;"+")-1),Build!X$596:Y$603,2,0)+IF(LEN(Z53)&gt;2,MID(Z53,FIND("+",Z53&amp;"+")+1,2),0),"")</f>
        <v>#N/A</v>
      </c>
      <c r="AD53" s="516"/>
      <c r="AE53" s="517" t="e">
        <f aca="true">IF(AC53&lt;&gt;"",OFFSET(ActionDice,AC53,0),"")</f>
        <v>#N/A</v>
      </c>
      <c r="AF53" s="517"/>
      <c r="AG53" s="517"/>
      <c r="AH53" s="517"/>
      <c r="AI53" s="517"/>
      <c r="AJ53" s="517"/>
      <c r="AK53" s="508" t="str">
        <f aca="true">IF(Build!AC665,OFFSET(Spells!AD$2,Build!AC665,0),"")</f>
        <v/>
      </c>
      <c r="AL53" s="508"/>
      <c r="AM53" s="508"/>
    </row>
    <row r="54" customFormat="false" ht="11.1" hidden="false" customHeight="true" outlineLevel="0" collapsed="false">
      <c r="A54" s="389"/>
      <c r="B54" s="389"/>
      <c r="C54" s="515" t="str">
        <f aca="true">IF(Build!AC666,OFFSET(Spells!V$2,Build!AC666,0),"")</f>
        <v/>
      </c>
      <c r="D54" s="515"/>
      <c r="E54" s="515"/>
      <c r="F54" s="515"/>
      <c r="G54" s="515"/>
      <c r="H54" s="515"/>
      <c r="I54" s="515"/>
      <c r="J54" s="515"/>
      <c r="K54" s="515"/>
      <c r="L54" s="354" t="str">
        <f aca="true">IF(Build!AC666,OFFSET(Spells!W$2,Build!AC666,0),"")</f>
        <v/>
      </c>
      <c r="M54" s="354"/>
      <c r="N54" s="354" t="str">
        <f aca="true">IF(Build!AC666,OFFSET(Spells!X$2,Build!AC666,0),"")</f>
        <v/>
      </c>
      <c r="O54" s="354"/>
      <c r="P54" s="354" t="str">
        <f aca="true">IF(Build!AC666,OFFSET(Spells!Y$2,Build!AC666,0),"")</f>
        <v/>
      </c>
      <c r="Q54" s="354"/>
      <c r="R54" s="354" t="str">
        <f aca="true">IF(Build!AC666,OFFSET(Spells!Z$2,Build!AC666,0),"")</f>
        <v/>
      </c>
      <c r="S54" s="354"/>
      <c r="T54" s="354" t="str">
        <f aca="true">IF(Build!AC666,OFFSET(Spells!AA$2,Build!AC666,0),"")</f>
        <v/>
      </c>
      <c r="U54" s="354"/>
      <c r="V54" s="354"/>
      <c r="W54" s="354" t="str">
        <f aca="true">IF(Build!AC666,OFFSET(Spells!AC$2,Build!AC666,0),"")</f>
        <v/>
      </c>
      <c r="X54" s="354"/>
      <c r="Y54" s="354"/>
      <c r="Z54" s="514" t="str">
        <f aca="false">Build!AI666</f>
        <v>Effect</v>
      </c>
      <c r="AA54" s="514"/>
      <c r="AB54" s="514"/>
      <c r="AC54" s="516" t="e">
        <f aca="false">IF(Z54&lt;&gt;"",VLOOKUP(LEFT(Z54,FIND("+",Z54&amp;"+")-1),Build!X$596:Y$603,2,0)+IF(LEN(Z54)&gt;2,MID(Z54,FIND("+",Z54&amp;"+")+1,2),0),"")</f>
        <v>#N/A</v>
      </c>
      <c r="AD54" s="516"/>
      <c r="AE54" s="517" t="e">
        <f aca="true">IF(AC54&lt;&gt;"",OFFSET(ActionDice,AC54,0),"")</f>
        <v>#N/A</v>
      </c>
      <c r="AF54" s="517"/>
      <c r="AG54" s="517"/>
      <c r="AH54" s="517"/>
      <c r="AI54" s="517"/>
      <c r="AJ54" s="517"/>
      <c r="AK54" s="508" t="str">
        <f aca="true">IF(Build!AC666,OFFSET(Spells!AD$2,Build!AC666,0),"")</f>
        <v/>
      </c>
      <c r="AL54" s="508"/>
      <c r="AM54" s="508"/>
    </row>
    <row r="55" customFormat="false" ht="11.1" hidden="false" customHeight="true" outlineLevel="0" collapsed="false">
      <c r="A55" s="389"/>
      <c r="B55" s="389"/>
      <c r="C55" s="515" t="str">
        <f aca="true">IF(Build!AC667,OFFSET(Spells!V$2,Build!AC667,0),"")</f>
        <v/>
      </c>
      <c r="D55" s="515"/>
      <c r="E55" s="515"/>
      <c r="F55" s="515"/>
      <c r="G55" s="515"/>
      <c r="H55" s="515"/>
      <c r="I55" s="515"/>
      <c r="J55" s="515"/>
      <c r="K55" s="515"/>
      <c r="L55" s="354" t="str">
        <f aca="true">IF(Build!AC667,OFFSET(Spells!W$2,Build!AC667,0),"")</f>
        <v/>
      </c>
      <c r="M55" s="354"/>
      <c r="N55" s="354" t="str">
        <f aca="true">IF(Build!AC667,OFFSET(Spells!X$2,Build!AC667,0),"")</f>
        <v/>
      </c>
      <c r="O55" s="354"/>
      <c r="P55" s="354" t="str">
        <f aca="true">IF(Build!AC667,OFFSET(Spells!Y$2,Build!AC667,0),"")</f>
        <v/>
      </c>
      <c r="Q55" s="354"/>
      <c r="R55" s="354" t="str">
        <f aca="true">IF(Build!AC667,OFFSET(Spells!Z$2,Build!AC667,0),"")</f>
        <v/>
      </c>
      <c r="S55" s="354"/>
      <c r="T55" s="354" t="str">
        <f aca="true">IF(Build!AC667,OFFSET(Spells!AA$2,Build!AC667,0),"")</f>
        <v/>
      </c>
      <c r="U55" s="354"/>
      <c r="V55" s="354"/>
      <c r="W55" s="354" t="str">
        <f aca="true">IF(Build!AC667,OFFSET(Spells!AC$2,Build!AC667,0),"")</f>
        <v/>
      </c>
      <c r="X55" s="354"/>
      <c r="Y55" s="354"/>
      <c r="Z55" s="514" t="str">
        <f aca="false">Build!AI667</f>
        <v>Effect</v>
      </c>
      <c r="AA55" s="514"/>
      <c r="AB55" s="514"/>
      <c r="AC55" s="516" t="e">
        <f aca="false">IF(Z55&lt;&gt;"",VLOOKUP(LEFT(Z55,FIND("+",Z55&amp;"+")-1),Build!X$596:Y$603,2,0)+IF(LEN(Z55)&gt;2,MID(Z55,FIND("+",Z55&amp;"+")+1,2),0),"")</f>
        <v>#N/A</v>
      </c>
      <c r="AD55" s="516"/>
      <c r="AE55" s="517" t="e">
        <f aca="true">IF(AC55&lt;&gt;"",OFFSET(ActionDice,AC55,0),"")</f>
        <v>#N/A</v>
      </c>
      <c r="AF55" s="517"/>
      <c r="AG55" s="517"/>
      <c r="AH55" s="517"/>
      <c r="AI55" s="517"/>
      <c r="AJ55" s="517"/>
      <c r="AK55" s="508" t="str">
        <f aca="true">IF(Build!AC667,OFFSET(Spells!AD$2,Build!AC667,0),"")</f>
        <v/>
      </c>
      <c r="AL55" s="508"/>
      <c r="AM55" s="508"/>
    </row>
    <row r="56" customFormat="false" ht="11.1" hidden="false" customHeight="true" outlineLevel="0" collapsed="false">
      <c r="A56" s="389"/>
      <c r="B56" s="389"/>
      <c r="C56" s="515" t="str">
        <f aca="true">IF(Build!AC668,OFFSET(Spells!V$2,Build!AC668,0),"")</f>
        <v/>
      </c>
      <c r="D56" s="515"/>
      <c r="E56" s="515"/>
      <c r="F56" s="515"/>
      <c r="G56" s="515"/>
      <c r="H56" s="515"/>
      <c r="I56" s="515"/>
      <c r="J56" s="515"/>
      <c r="K56" s="515"/>
      <c r="L56" s="354" t="str">
        <f aca="true">IF(Build!AC668,OFFSET(Spells!W$2,Build!AC668,0),"")</f>
        <v/>
      </c>
      <c r="M56" s="354"/>
      <c r="N56" s="354" t="str">
        <f aca="true">IF(Build!AC668,OFFSET(Spells!X$2,Build!AC668,0),"")</f>
        <v/>
      </c>
      <c r="O56" s="354"/>
      <c r="P56" s="354" t="str">
        <f aca="true">IF(Build!AC668,OFFSET(Spells!Y$2,Build!AC668,0),"")</f>
        <v/>
      </c>
      <c r="Q56" s="354"/>
      <c r="R56" s="354" t="str">
        <f aca="true">IF(Build!AC668,OFFSET(Spells!Z$2,Build!AC668,0),"")</f>
        <v/>
      </c>
      <c r="S56" s="354"/>
      <c r="T56" s="354" t="str">
        <f aca="true">IF(Build!AC668,OFFSET(Spells!AA$2,Build!AC668,0),"")</f>
        <v/>
      </c>
      <c r="U56" s="354"/>
      <c r="V56" s="354"/>
      <c r="W56" s="354" t="str">
        <f aca="true">IF(Build!AC668,OFFSET(Spells!AC$2,Build!AC668,0),"")</f>
        <v/>
      </c>
      <c r="X56" s="354"/>
      <c r="Y56" s="354"/>
      <c r="Z56" s="514" t="str">
        <f aca="false">Build!AI668</f>
        <v>Effect</v>
      </c>
      <c r="AA56" s="514"/>
      <c r="AB56" s="514"/>
      <c r="AC56" s="516" t="e">
        <f aca="false">IF(Z56&lt;&gt;"",VLOOKUP(LEFT(Z56,FIND("+",Z56&amp;"+")-1),Build!X$596:Y$603,2,0)+IF(LEN(Z56)&gt;2,MID(Z56,FIND("+",Z56&amp;"+")+1,2),0),"")</f>
        <v>#N/A</v>
      </c>
      <c r="AD56" s="516"/>
      <c r="AE56" s="517" t="e">
        <f aca="true">IF(AC56&lt;&gt;"",OFFSET(ActionDice,AC56,0),"")</f>
        <v>#N/A</v>
      </c>
      <c r="AF56" s="517"/>
      <c r="AG56" s="517"/>
      <c r="AH56" s="517"/>
      <c r="AI56" s="517"/>
      <c r="AJ56" s="517"/>
      <c r="AK56" s="508" t="str">
        <f aca="true">IF(Build!AC668,OFFSET(Spells!AD$2,Build!AC668,0),"")</f>
        <v/>
      </c>
      <c r="AL56" s="508"/>
      <c r="AM56" s="508"/>
    </row>
    <row r="57" customFormat="false" ht="11.1" hidden="false" customHeight="true" outlineLevel="0" collapsed="false">
      <c r="A57" s="389"/>
      <c r="B57" s="389"/>
      <c r="C57" s="515" t="str">
        <f aca="true">IF(Build!AC669,OFFSET(Spells!V$2,Build!AC669,0),"")</f>
        <v/>
      </c>
      <c r="D57" s="515"/>
      <c r="E57" s="515"/>
      <c r="F57" s="515"/>
      <c r="G57" s="515"/>
      <c r="H57" s="515"/>
      <c r="I57" s="515"/>
      <c r="J57" s="515"/>
      <c r="K57" s="515"/>
      <c r="L57" s="354" t="str">
        <f aca="true">IF(Build!AC669,OFFSET(Spells!W$2,Build!AC669,0),"")</f>
        <v/>
      </c>
      <c r="M57" s="354"/>
      <c r="N57" s="354" t="str">
        <f aca="true">IF(Build!AC669,OFFSET(Spells!X$2,Build!AC669,0),"")</f>
        <v/>
      </c>
      <c r="O57" s="354"/>
      <c r="P57" s="354" t="str">
        <f aca="true">IF(Build!AC669,OFFSET(Spells!Y$2,Build!AC669,0),"")</f>
        <v/>
      </c>
      <c r="Q57" s="354"/>
      <c r="R57" s="354" t="str">
        <f aca="true">IF(Build!AC669,OFFSET(Spells!Z$2,Build!AC669,0),"")</f>
        <v/>
      </c>
      <c r="S57" s="354"/>
      <c r="T57" s="354" t="str">
        <f aca="true">IF(Build!AC669,OFFSET(Spells!AA$2,Build!AC669,0),"")</f>
        <v/>
      </c>
      <c r="U57" s="354"/>
      <c r="V57" s="354"/>
      <c r="W57" s="354" t="str">
        <f aca="true">IF(Build!AC669,OFFSET(Spells!AC$2,Build!AC669,0),"")</f>
        <v/>
      </c>
      <c r="X57" s="354"/>
      <c r="Y57" s="354"/>
      <c r="Z57" s="514" t="str">
        <f aca="false">Build!AI669</f>
        <v>Effect</v>
      </c>
      <c r="AA57" s="514"/>
      <c r="AB57" s="514"/>
      <c r="AC57" s="516" t="e">
        <f aca="false">IF(Z57&lt;&gt;"",VLOOKUP(LEFT(Z57,FIND("+",Z57&amp;"+")-1),Build!X$596:Y$603,2,0)+IF(LEN(Z57)&gt;2,MID(Z57,FIND("+",Z57&amp;"+")+1,2),0),"")</f>
        <v>#N/A</v>
      </c>
      <c r="AD57" s="516"/>
      <c r="AE57" s="517" t="e">
        <f aca="true">IF(AC57&lt;&gt;"",OFFSET(ActionDice,AC57,0),"")</f>
        <v>#N/A</v>
      </c>
      <c r="AF57" s="517"/>
      <c r="AG57" s="517"/>
      <c r="AH57" s="517"/>
      <c r="AI57" s="517"/>
      <c r="AJ57" s="517"/>
      <c r="AK57" s="508" t="str">
        <f aca="true">IF(Build!AC669,OFFSET(Spells!AD$2,Build!AC669,0),"")</f>
        <v/>
      </c>
      <c r="AL57" s="508"/>
      <c r="AM57" s="508"/>
    </row>
    <row r="58" customFormat="false" ht="11.1" hidden="false" customHeight="true" outlineLevel="0" collapsed="false">
      <c r="A58" s="389"/>
      <c r="B58" s="389"/>
      <c r="C58" s="515" t="str">
        <f aca="true">IF(Build!AC670,OFFSET(Spells!V$2,Build!AC670,0),"")</f>
        <v/>
      </c>
      <c r="D58" s="515"/>
      <c r="E58" s="515"/>
      <c r="F58" s="515"/>
      <c r="G58" s="515"/>
      <c r="H58" s="515"/>
      <c r="I58" s="515"/>
      <c r="J58" s="515"/>
      <c r="K58" s="515"/>
      <c r="L58" s="354" t="str">
        <f aca="true">IF(Build!AC670,OFFSET(Spells!W$2,Build!AC670,0),"")</f>
        <v/>
      </c>
      <c r="M58" s="354"/>
      <c r="N58" s="354" t="str">
        <f aca="true">IF(Build!AC670,OFFSET(Spells!X$2,Build!AC670,0),"")</f>
        <v/>
      </c>
      <c r="O58" s="354"/>
      <c r="P58" s="354" t="str">
        <f aca="true">IF(Build!AC670,OFFSET(Spells!Y$2,Build!AC670,0),"")</f>
        <v/>
      </c>
      <c r="Q58" s="354"/>
      <c r="R58" s="354" t="str">
        <f aca="true">IF(Build!AC670,OFFSET(Spells!Z$2,Build!AC670,0),"")</f>
        <v/>
      </c>
      <c r="S58" s="354"/>
      <c r="T58" s="354" t="str">
        <f aca="true">IF(Build!AC670,OFFSET(Spells!AA$2,Build!AC670,0),"")</f>
        <v/>
      </c>
      <c r="U58" s="354"/>
      <c r="V58" s="354"/>
      <c r="W58" s="354" t="str">
        <f aca="true">IF(Build!AC670,OFFSET(Spells!AC$2,Build!AC670,0),"")</f>
        <v/>
      </c>
      <c r="X58" s="354"/>
      <c r="Y58" s="354"/>
      <c r="Z58" s="514" t="str">
        <f aca="false">Build!AI670</f>
        <v>Effect</v>
      </c>
      <c r="AA58" s="514"/>
      <c r="AB58" s="514"/>
      <c r="AC58" s="516" t="e">
        <f aca="false">IF(Z58&lt;&gt;"",VLOOKUP(LEFT(Z58,FIND("+",Z58&amp;"+")-1),Build!X$596:Y$603,2,0)+IF(LEN(Z58)&gt;2,MID(Z58,FIND("+",Z58&amp;"+")+1,2),0),"")</f>
        <v>#N/A</v>
      </c>
      <c r="AD58" s="516"/>
      <c r="AE58" s="517" t="e">
        <f aca="true">IF(AC58&lt;&gt;"",OFFSET(ActionDice,AC58,0),"")</f>
        <v>#N/A</v>
      </c>
      <c r="AF58" s="517"/>
      <c r="AG58" s="517"/>
      <c r="AH58" s="517"/>
      <c r="AI58" s="517"/>
      <c r="AJ58" s="517"/>
      <c r="AK58" s="508" t="str">
        <f aca="true">IF(Build!AC670,OFFSET(Spells!AD$2,Build!AC670,0),"")</f>
        <v/>
      </c>
      <c r="AL58" s="508"/>
      <c r="AM58" s="508"/>
    </row>
    <row r="59" customFormat="false" ht="11.1" hidden="false" customHeight="true" outlineLevel="0" collapsed="false">
      <c r="A59" s="389"/>
      <c r="B59" s="389"/>
      <c r="C59" s="515" t="str">
        <f aca="true">IF(Build!AC671,OFFSET(Spells!V$2,Build!AC671,0),"")</f>
        <v/>
      </c>
      <c r="D59" s="515"/>
      <c r="E59" s="515"/>
      <c r="F59" s="515"/>
      <c r="G59" s="515"/>
      <c r="H59" s="515"/>
      <c r="I59" s="515"/>
      <c r="J59" s="515"/>
      <c r="K59" s="515"/>
      <c r="L59" s="354" t="str">
        <f aca="true">IF(Build!AC671,OFFSET(Spells!W$2,Build!AC671,0),"")</f>
        <v/>
      </c>
      <c r="M59" s="354"/>
      <c r="N59" s="354" t="str">
        <f aca="true">IF(Build!AC671,OFFSET(Spells!X$2,Build!AC671,0),"")</f>
        <v/>
      </c>
      <c r="O59" s="354"/>
      <c r="P59" s="354" t="str">
        <f aca="true">IF(Build!AC671,OFFSET(Spells!Y$2,Build!AC671,0),"")</f>
        <v/>
      </c>
      <c r="Q59" s="354"/>
      <c r="R59" s="354" t="str">
        <f aca="true">IF(Build!AC671,OFFSET(Spells!Z$2,Build!AC671,0),"")</f>
        <v/>
      </c>
      <c r="S59" s="354"/>
      <c r="T59" s="354" t="str">
        <f aca="true">IF(Build!AC671,OFFSET(Spells!AA$2,Build!AC671,0),"")</f>
        <v/>
      </c>
      <c r="U59" s="354"/>
      <c r="V59" s="354"/>
      <c r="W59" s="354" t="str">
        <f aca="true">IF(Build!AC671,OFFSET(Spells!AC$2,Build!AC671,0),"")</f>
        <v/>
      </c>
      <c r="X59" s="354"/>
      <c r="Y59" s="354"/>
      <c r="Z59" s="514" t="str">
        <f aca="false">Build!AI671</f>
        <v>Effect</v>
      </c>
      <c r="AA59" s="514"/>
      <c r="AB59" s="514"/>
      <c r="AC59" s="516" t="e">
        <f aca="false">IF(Z59&lt;&gt;"",VLOOKUP(LEFT(Z59,FIND("+",Z59&amp;"+")-1),Build!X$596:Y$603,2,0)+IF(LEN(Z59)&gt;2,MID(Z59,FIND("+",Z59&amp;"+")+1,2),0),"")</f>
        <v>#N/A</v>
      </c>
      <c r="AD59" s="516"/>
      <c r="AE59" s="517" t="e">
        <f aca="true">IF(AC59&lt;&gt;"",OFFSET(ActionDice,AC59,0),"")</f>
        <v>#N/A</v>
      </c>
      <c r="AF59" s="517"/>
      <c r="AG59" s="517"/>
      <c r="AH59" s="517"/>
      <c r="AI59" s="517"/>
      <c r="AJ59" s="517"/>
      <c r="AK59" s="508" t="str">
        <f aca="true">IF(Build!AC671,OFFSET(Spells!AD$2,Build!AC671,0),"")</f>
        <v/>
      </c>
      <c r="AL59" s="508"/>
      <c r="AM59" s="508"/>
    </row>
    <row r="60" customFormat="false" ht="11.1" hidden="false" customHeight="true" outlineLevel="0" collapsed="false">
      <c r="A60" s="389"/>
      <c r="B60" s="389"/>
      <c r="C60" s="515" t="str">
        <f aca="true">IF(Build!AC672,OFFSET(Spells!V$2,Build!AC672,0),"")</f>
        <v/>
      </c>
      <c r="D60" s="515"/>
      <c r="E60" s="515"/>
      <c r="F60" s="515"/>
      <c r="G60" s="515"/>
      <c r="H60" s="515"/>
      <c r="I60" s="515"/>
      <c r="J60" s="515"/>
      <c r="K60" s="515"/>
      <c r="L60" s="354" t="str">
        <f aca="true">IF(Build!AC672,OFFSET(Spells!W$2,Build!AC672,0),"")</f>
        <v/>
      </c>
      <c r="M60" s="354"/>
      <c r="N60" s="354" t="str">
        <f aca="true">IF(Build!AC672,OFFSET(Spells!X$2,Build!AC672,0),"")</f>
        <v/>
      </c>
      <c r="O60" s="354"/>
      <c r="P60" s="354" t="str">
        <f aca="true">IF(Build!AC672,OFFSET(Spells!Y$2,Build!AC672,0),"")</f>
        <v/>
      </c>
      <c r="Q60" s="354"/>
      <c r="R60" s="354" t="str">
        <f aca="true">IF(Build!AC672,OFFSET(Spells!Z$2,Build!AC672,0),"")</f>
        <v/>
      </c>
      <c r="S60" s="354"/>
      <c r="T60" s="354" t="str">
        <f aca="true">IF(Build!AC672,OFFSET(Spells!AA$2,Build!AC672,0),"")</f>
        <v/>
      </c>
      <c r="U60" s="354"/>
      <c r="V60" s="354"/>
      <c r="W60" s="354" t="str">
        <f aca="true">IF(Build!AC672,OFFSET(Spells!AC$2,Build!AC672,0),"")</f>
        <v/>
      </c>
      <c r="X60" s="354"/>
      <c r="Y60" s="354"/>
      <c r="Z60" s="514" t="str">
        <f aca="false">Build!AI672</f>
        <v>Effect</v>
      </c>
      <c r="AA60" s="514"/>
      <c r="AB60" s="514"/>
      <c r="AC60" s="516" t="e">
        <f aca="false">IF(Z60&lt;&gt;"",VLOOKUP(LEFT(Z60,FIND("+",Z60&amp;"+")-1),Build!X$596:Y$603,2,0)+IF(LEN(Z60)&gt;2,MID(Z60,FIND("+",Z60&amp;"+")+1,2),0),"")</f>
        <v>#N/A</v>
      </c>
      <c r="AD60" s="516"/>
      <c r="AE60" s="517" t="e">
        <f aca="true">IF(AC60&lt;&gt;"",OFFSET(ActionDice,AC60,0),"")</f>
        <v>#N/A</v>
      </c>
      <c r="AF60" s="517"/>
      <c r="AG60" s="517"/>
      <c r="AH60" s="517"/>
      <c r="AI60" s="517"/>
      <c r="AJ60" s="517"/>
      <c r="AK60" s="508" t="str">
        <f aca="true">IF(Build!AC672,OFFSET(Spells!AD$2,Build!AC672,0),"")</f>
        <v/>
      </c>
      <c r="AL60" s="508"/>
      <c r="AM60" s="508"/>
    </row>
    <row r="61" customFormat="false" ht="11.1" hidden="false" customHeight="true" outlineLevel="0" collapsed="false">
      <c r="A61" s="389"/>
      <c r="B61" s="389"/>
      <c r="C61" s="515" t="str">
        <f aca="true">IF(Build!AC673,OFFSET(Spells!V$2,Build!AC673,0),"")</f>
        <v/>
      </c>
      <c r="D61" s="515"/>
      <c r="E61" s="515"/>
      <c r="F61" s="515"/>
      <c r="G61" s="515"/>
      <c r="H61" s="515"/>
      <c r="I61" s="515"/>
      <c r="J61" s="515"/>
      <c r="K61" s="515"/>
      <c r="L61" s="354" t="str">
        <f aca="true">IF(Build!AC673,OFFSET(Spells!W$2,Build!AC673,0),"")</f>
        <v/>
      </c>
      <c r="M61" s="354"/>
      <c r="N61" s="354" t="str">
        <f aca="true">IF(Build!AC673,OFFSET(Spells!X$2,Build!AC673,0),"")</f>
        <v/>
      </c>
      <c r="O61" s="354"/>
      <c r="P61" s="354" t="str">
        <f aca="true">IF(Build!AC673,OFFSET(Spells!Y$2,Build!AC673,0),"")</f>
        <v/>
      </c>
      <c r="Q61" s="354"/>
      <c r="R61" s="354" t="str">
        <f aca="true">IF(Build!AC673,OFFSET(Spells!Z$2,Build!AC673,0),"")</f>
        <v/>
      </c>
      <c r="S61" s="354"/>
      <c r="T61" s="354" t="str">
        <f aca="true">IF(Build!AC673,OFFSET(Spells!AA$2,Build!AC673,0),"")</f>
        <v/>
      </c>
      <c r="U61" s="354"/>
      <c r="V61" s="354"/>
      <c r="W61" s="354" t="str">
        <f aca="true">IF(Build!AC673,OFFSET(Spells!AC$2,Build!AC673,0),"")</f>
        <v/>
      </c>
      <c r="X61" s="354"/>
      <c r="Y61" s="354"/>
      <c r="Z61" s="514" t="str">
        <f aca="false">Build!AI673</f>
        <v>Effect</v>
      </c>
      <c r="AA61" s="514"/>
      <c r="AB61" s="514"/>
      <c r="AC61" s="516" t="e">
        <f aca="false">IF(Z61&lt;&gt;"",VLOOKUP(LEFT(Z61,FIND("+",Z61&amp;"+")-1),Build!X$596:Y$603,2,0)+IF(LEN(Z61)&gt;2,MID(Z61,FIND("+",Z61&amp;"+")+1,2),0),"")</f>
        <v>#N/A</v>
      </c>
      <c r="AD61" s="516"/>
      <c r="AE61" s="517" t="e">
        <f aca="true">IF(AC61&lt;&gt;"",OFFSET(ActionDice,AC61,0),"")</f>
        <v>#N/A</v>
      </c>
      <c r="AF61" s="517"/>
      <c r="AG61" s="517"/>
      <c r="AH61" s="517"/>
      <c r="AI61" s="517"/>
      <c r="AJ61" s="517"/>
      <c r="AK61" s="508" t="str">
        <f aca="true">IF(Build!AC673,OFFSET(Spells!AD$2,Build!AC673,0),"")</f>
        <v/>
      </c>
      <c r="AL61" s="508"/>
      <c r="AM61" s="508"/>
    </row>
    <row r="62" customFormat="false" ht="11.1" hidden="false" customHeight="true" outlineLevel="0" collapsed="false">
      <c r="A62" s="389"/>
      <c r="B62" s="389"/>
      <c r="C62" s="515" t="str">
        <f aca="true">IF(Build!AC674,OFFSET(Spells!V$2,Build!AC674,0),"")</f>
        <v/>
      </c>
      <c r="D62" s="515"/>
      <c r="E62" s="515"/>
      <c r="F62" s="515"/>
      <c r="G62" s="515"/>
      <c r="H62" s="515"/>
      <c r="I62" s="515"/>
      <c r="J62" s="515"/>
      <c r="K62" s="515"/>
      <c r="L62" s="354" t="str">
        <f aca="true">IF(Build!AC674,OFFSET(Spells!W$2,Build!AC674,0),"")</f>
        <v/>
      </c>
      <c r="M62" s="354"/>
      <c r="N62" s="354" t="str">
        <f aca="true">IF(Build!AC674,OFFSET(Spells!X$2,Build!AC674,0),"")</f>
        <v/>
      </c>
      <c r="O62" s="354"/>
      <c r="P62" s="354" t="str">
        <f aca="true">IF(Build!AC674,OFFSET(Spells!Y$2,Build!AC674,0),"")</f>
        <v/>
      </c>
      <c r="Q62" s="354"/>
      <c r="R62" s="354" t="str">
        <f aca="true">IF(Build!AC674,OFFSET(Spells!Z$2,Build!AC674,0),"")</f>
        <v/>
      </c>
      <c r="S62" s="354"/>
      <c r="T62" s="354" t="str">
        <f aca="true">IF(Build!AC674,OFFSET(Spells!AA$2,Build!AC674,0),"")</f>
        <v/>
      </c>
      <c r="U62" s="354"/>
      <c r="V62" s="354"/>
      <c r="W62" s="354" t="str">
        <f aca="true">IF(Build!AC674,OFFSET(Spells!AC$2,Build!AC674,0),"")</f>
        <v/>
      </c>
      <c r="X62" s="354"/>
      <c r="Y62" s="354"/>
      <c r="Z62" s="514" t="str">
        <f aca="false">Build!AI674</f>
        <v>Effect</v>
      </c>
      <c r="AA62" s="514"/>
      <c r="AB62" s="514"/>
      <c r="AC62" s="516" t="e">
        <f aca="false">IF(Z62&lt;&gt;"",VLOOKUP(LEFT(Z62,FIND("+",Z62&amp;"+")-1),Build!X$596:Y$603,2,0)+IF(LEN(Z62)&gt;2,MID(Z62,FIND("+",Z62&amp;"+")+1,2),0),"")</f>
        <v>#N/A</v>
      </c>
      <c r="AD62" s="516"/>
      <c r="AE62" s="517" t="e">
        <f aca="true">IF(AC62&lt;&gt;"",OFFSET(ActionDice,AC62,0),"")</f>
        <v>#N/A</v>
      </c>
      <c r="AF62" s="517"/>
      <c r="AG62" s="517"/>
      <c r="AH62" s="517"/>
      <c r="AI62" s="517"/>
      <c r="AJ62" s="517"/>
      <c r="AK62" s="508" t="str">
        <f aca="true">IF(Build!AC674,OFFSET(Spells!AD$2,Build!AC674,0),"")</f>
        <v/>
      </c>
      <c r="AL62" s="508"/>
      <c r="AM62" s="508"/>
    </row>
    <row r="63" customFormat="false" ht="11.1" hidden="false" customHeight="true" outlineLevel="0" collapsed="false">
      <c r="A63" s="389"/>
      <c r="B63" s="389"/>
      <c r="C63" s="515" t="str">
        <f aca="true">IF(Build!AC675,OFFSET(Spells!V$2,Build!AC675,0),"")</f>
        <v/>
      </c>
      <c r="D63" s="515"/>
      <c r="E63" s="515"/>
      <c r="F63" s="515"/>
      <c r="G63" s="515"/>
      <c r="H63" s="515"/>
      <c r="I63" s="515"/>
      <c r="J63" s="515"/>
      <c r="K63" s="515"/>
      <c r="L63" s="354" t="str">
        <f aca="true">IF(Build!AC675,OFFSET(Spells!W$2,Build!AC675,0),"")</f>
        <v/>
      </c>
      <c r="M63" s="354"/>
      <c r="N63" s="354" t="str">
        <f aca="true">IF(Build!AC675,OFFSET(Spells!X$2,Build!AC675,0),"")</f>
        <v/>
      </c>
      <c r="O63" s="354"/>
      <c r="P63" s="354" t="str">
        <f aca="true">IF(Build!AC675,OFFSET(Spells!Y$2,Build!AC675,0),"")</f>
        <v/>
      </c>
      <c r="Q63" s="354"/>
      <c r="R63" s="354" t="str">
        <f aca="true">IF(Build!AC675,OFFSET(Spells!Z$2,Build!AC675,0),"")</f>
        <v/>
      </c>
      <c r="S63" s="354"/>
      <c r="T63" s="354" t="str">
        <f aca="true">IF(Build!AC675,OFFSET(Spells!AA$2,Build!AC675,0),"")</f>
        <v/>
      </c>
      <c r="U63" s="354"/>
      <c r="V63" s="354"/>
      <c r="W63" s="354" t="str">
        <f aca="true">IF(Build!AC675,OFFSET(Spells!AC$2,Build!AC675,0),"")</f>
        <v/>
      </c>
      <c r="X63" s="354"/>
      <c r="Y63" s="354"/>
      <c r="Z63" s="514" t="str">
        <f aca="false">Build!AI675</f>
        <v>Effect</v>
      </c>
      <c r="AA63" s="514"/>
      <c r="AB63" s="514"/>
      <c r="AC63" s="516" t="e">
        <f aca="false">IF(Z63&lt;&gt;"",VLOOKUP(LEFT(Z63,FIND("+",Z63&amp;"+")-1),Build!X$596:Y$603,2,0)+IF(LEN(Z63)&gt;2,MID(Z63,FIND("+",Z63&amp;"+")+1,2),0),"")</f>
        <v>#N/A</v>
      </c>
      <c r="AD63" s="516"/>
      <c r="AE63" s="517" t="e">
        <f aca="true">IF(AC63&lt;&gt;"",OFFSET(ActionDice,AC63,0),"")</f>
        <v>#N/A</v>
      </c>
      <c r="AF63" s="517"/>
      <c r="AG63" s="517"/>
      <c r="AH63" s="517"/>
      <c r="AI63" s="517"/>
      <c r="AJ63" s="517"/>
      <c r="AK63" s="508" t="str">
        <f aca="true">IF(Build!AC675,OFFSET(Spells!AD$2,Build!AC675,0),"")</f>
        <v/>
      </c>
      <c r="AL63" s="508"/>
      <c r="AM63" s="508"/>
    </row>
    <row r="64" customFormat="false" ht="11.1" hidden="false" customHeight="true" outlineLevel="0" collapsed="false">
      <c r="A64" s="389"/>
      <c r="B64" s="389"/>
      <c r="C64" s="515" t="str">
        <f aca="true">IF(Build!AC676,OFFSET(Spells!V$2,Build!AC676,0),"")</f>
        <v/>
      </c>
      <c r="D64" s="515"/>
      <c r="E64" s="515"/>
      <c r="F64" s="515"/>
      <c r="G64" s="515"/>
      <c r="H64" s="515"/>
      <c r="I64" s="515"/>
      <c r="J64" s="515"/>
      <c r="K64" s="515"/>
      <c r="L64" s="354" t="str">
        <f aca="true">IF(Build!AC676,OFFSET(Spells!W$2,Build!AC676,0),"")</f>
        <v/>
      </c>
      <c r="M64" s="354"/>
      <c r="N64" s="354" t="str">
        <f aca="true">IF(Build!AC676,OFFSET(Spells!X$2,Build!AC676,0),"")</f>
        <v/>
      </c>
      <c r="O64" s="354"/>
      <c r="P64" s="354" t="str">
        <f aca="true">IF(Build!AC676,OFFSET(Spells!Y$2,Build!AC676,0),"")</f>
        <v/>
      </c>
      <c r="Q64" s="354"/>
      <c r="R64" s="354" t="str">
        <f aca="true">IF(Build!AC676,OFFSET(Spells!Z$2,Build!AC676,0),"")</f>
        <v/>
      </c>
      <c r="S64" s="354"/>
      <c r="T64" s="354" t="str">
        <f aca="true">IF(Build!AC676,OFFSET(Spells!AA$2,Build!AC676,0),"")</f>
        <v/>
      </c>
      <c r="U64" s="354"/>
      <c r="V64" s="354"/>
      <c r="W64" s="354" t="str">
        <f aca="true">IF(Build!AC676,OFFSET(Spells!AC$2,Build!AC676,0),"")</f>
        <v/>
      </c>
      <c r="X64" s="354"/>
      <c r="Y64" s="354"/>
      <c r="Z64" s="514" t="str">
        <f aca="false">Build!AI676</f>
        <v>Effect</v>
      </c>
      <c r="AA64" s="514"/>
      <c r="AB64" s="514"/>
      <c r="AC64" s="516" t="e">
        <f aca="false">IF(Z64&lt;&gt;"",VLOOKUP(LEFT(Z64,FIND("+",Z64&amp;"+")-1),Build!X$596:Y$603,2,0)+IF(LEN(Z64)&gt;2,MID(Z64,FIND("+",Z64&amp;"+")+1,2),0),"")</f>
        <v>#N/A</v>
      </c>
      <c r="AD64" s="516"/>
      <c r="AE64" s="517" t="e">
        <f aca="true">IF(AC64&lt;&gt;"",OFFSET(ActionDice,AC64,0),"")</f>
        <v>#N/A</v>
      </c>
      <c r="AF64" s="517"/>
      <c r="AG64" s="517"/>
      <c r="AH64" s="517"/>
      <c r="AI64" s="517"/>
      <c r="AJ64" s="517"/>
      <c r="AK64" s="508" t="str">
        <f aca="true">IF(Build!AC676,OFFSET(Spells!AD$2,Build!AC676,0),"")</f>
        <v/>
      </c>
      <c r="AL64" s="508"/>
      <c r="AM64" s="508"/>
    </row>
    <row r="65" customFormat="false" ht="11.1" hidden="false" customHeight="true" outlineLevel="0" collapsed="false">
      <c r="A65" s="389"/>
      <c r="B65" s="389"/>
      <c r="C65" s="515" t="str">
        <f aca="true">IF(Build!AC677,OFFSET(Spells!V$2,Build!AC677,0),"")</f>
        <v/>
      </c>
      <c r="D65" s="515"/>
      <c r="E65" s="515"/>
      <c r="F65" s="515"/>
      <c r="G65" s="515"/>
      <c r="H65" s="515"/>
      <c r="I65" s="515"/>
      <c r="J65" s="515"/>
      <c r="K65" s="515"/>
      <c r="L65" s="354" t="str">
        <f aca="true">IF(Build!AC677,OFFSET(Spells!W$2,Build!AC677,0),"")</f>
        <v/>
      </c>
      <c r="M65" s="354"/>
      <c r="N65" s="354" t="str">
        <f aca="true">IF(Build!AC677,OFFSET(Spells!X$2,Build!AC677,0),"")</f>
        <v/>
      </c>
      <c r="O65" s="354"/>
      <c r="P65" s="354" t="str">
        <f aca="true">IF(Build!AC677,OFFSET(Spells!Y$2,Build!AC677,0),"")</f>
        <v/>
      </c>
      <c r="Q65" s="354"/>
      <c r="R65" s="354" t="str">
        <f aca="true">IF(Build!AC677,OFFSET(Spells!Z$2,Build!AC677,0),"")</f>
        <v/>
      </c>
      <c r="S65" s="354"/>
      <c r="T65" s="354" t="str">
        <f aca="true">IF(Build!AC677,OFFSET(Spells!AA$2,Build!AC677,0),"")</f>
        <v/>
      </c>
      <c r="U65" s="354"/>
      <c r="V65" s="354"/>
      <c r="W65" s="354" t="str">
        <f aca="true">IF(Build!AC677,OFFSET(Spells!AC$2,Build!AC677,0),"")</f>
        <v/>
      </c>
      <c r="X65" s="354"/>
      <c r="Y65" s="354"/>
      <c r="Z65" s="514" t="str">
        <f aca="false">Build!AI677</f>
        <v>Effect</v>
      </c>
      <c r="AA65" s="514"/>
      <c r="AB65" s="514"/>
      <c r="AC65" s="516" t="e">
        <f aca="false">IF(Z65&lt;&gt;"",VLOOKUP(LEFT(Z65,FIND("+",Z65&amp;"+")-1),Build!X$596:Y$603,2,0)+IF(LEN(Z65)&gt;2,MID(Z65,FIND("+",Z65&amp;"+")+1,2),0),"")</f>
        <v>#N/A</v>
      </c>
      <c r="AD65" s="516"/>
      <c r="AE65" s="517" t="e">
        <f aca="true">IF(AC65&lt;&gt;"",OFFSET(ActionDice,AC65,0),"")</f>
        <v>#N/A</v>
      </c>
      <c r="AF65" s="517"/>
      <c r="AG65" s="517"/>
      <c r="AH65" s="517"/>
      <c r="AI65" s="517"/>
      <c r="AJ65" s="517"/>
      <c r="AK65" s="508" t="str">
        <f aca="true">IF(Build!AC677,OFFSET(Spells!AD$2,Build!AC677,0),"")</f>
        <v/>
      </c>
      <c r="AL65" s="508"/>
      <c r="AM65" s="508"/>
    </row>
    <row r="66" customFormat="false" ht="11.1" hidden="false" customHeight="true" outlineLevel="0" collapsed="false">
      <c r="A66" s="389"/>
      <c r="B66" s="389"/>
      <c r="C66" s="515" t="str">
        <f aca="true">IF(Build!AC678,OFFSET(Spells!V$2,Build!AC678,0),"")</f>
        <v/>
      </c>
      <c r="D66" s="515"/>
      <c r="E66" s="515"/>
      <c r="F66" s="515"/>
      <c r="G66" s="515"/>
      <c r="H66" s="515"/>
      <c r="I66" s="515"/>
      <c r="J66" s="515"/>
      <c r="K66" s="515"/>
      <c r="L66" s="354" t="str">
        <f aca="true">IF(Build!AC678,OFFSET(Spells!W$2,Build!AC678,0),"")</f>
        <v/>
      </c>
      <c r="M66" s="354"/>
      <c r="N66" s="354" t="str">
        <f aca="true">IF(Build!AC678,OFFSET(Spells!X$2,Build!AC678,0),"")</f>
        <v/>
      </c>
      <c r="O66" s="354"/>
      <c r="P66" s="354" t="str">
        <f aca="true">IF(Build!AC678,OFFSET(Spells!Y$2,Build!AC678,0),"")</f>
        <v/>
      </c>
      <c r="Q66" s="354"/>
      <c r="R66" s="354" t="str">
        <f aca="true">IF(Build!AC678,OFFSET(Spells!Z$2,Build!AC678,0),"")</f>
        <v/>
      </c>
      <c r="S66" s="354"/>
      <c r="T66" s="354" t="str">
        <f aca="true">IF(Build!AC678,OFFSET(Spells!AA$2,Build!AC678,0),"")</f>
        <v/>
      </c>
      <c r="U66" s="354"/>
      <c r="V66" s="354"/>
      <c r="W66" s="354" t="str">
        <f aca="true">IF(Build!AC678,OFFSET(Spells!AC$2,Build!AC678,0),"")</f>
        <v/>
      </c>
      <c r="X66" s="354"/>
      <c r="Y66" s="354"/>
      <c r="Z66" s="514" t="str">
        <f aca="false">Build!AI678</f>
        <v>Effect</v>
      </c>
      <c r="AA66" s="514"/>
      <c r="AB66" s="514"/>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IF(Build!AC678,OFFSET(Spells!AD$2,Build!AC678,0),"")</f>
        <v/>
      </c>
      <c r="AL66" s="508"/>
      <c r="AM66" s="508"/>
    </row>
    <row r="67" customFormat="false" ht="11.1" hidden="false" customHeight="true" outlineLevel="0" collapsed="false">
      <c r="A67" s="389"/>
      <c r="B67" s="389"/>
      <c r="C67" s="515" t="str">
        <f aca="true">IF(Build!AC679,OFFSET(Spells!V$2,Build!AC679,0),"")</f>
        <v/>
      </c>
      <c r="D67" s="515"/>
      <c r="E67" s="515"/>
      <c r="F67" s="515"/>
      <c r="G67" s="515"/>
      <c r="H67" s="515"/>
      <c r="I67" s="515"/>
      <c r="J67" s="515"/>
      <c r="K67" s="515"/>
      <c r="L67" s="354" t="str">
        <f aca="true">IF(Build!AC679,OFFSET(Spells!W$2,Build!AC679,0),"")</f>
        <v/>
      </c>
      <c r="M67" s="354"/>
      <c r="N67" s="354" t="str">
        <f aca="true">IF(Build!AC679,OFFSET(Spells!X$2,Build!AC679,0),"")</f>
        <v/>
      </c>
      <c r="O67" s="354"/>
      <c r="P67" s="354" t="str">
        <f aca="true">IF(Build!AC679,OFFSET(Spells!Y$2,Build!AC679,0),"")</f>
        <v/>
      </c>
      <c r="Q67" s="354"/>
      <c r="R67" s="354" t="str">
        <f aca="true">IF(Build!AC679,OFFSET(Spells!Z$2,Build!AC679,0),"")</f>
        <v/>
      </c>
      <c r="S67" s="354"/>
      <c r="T67" s="354" t="str">
        <f aca="true">IF(Build!AC679,OFFSET(Spells!AA$2,Build!AC679,0),"")</f>
        <v/>
      </c>
      <c r="U67" s="354"/>
      <c r="V67" s="354"/>
      <c r="W67" s="354" t="str">
        <f aca="true">IF(Build!AC679,OFFSET(Spells!AC$2,Build!AC679,0),"")</f>
        <v/>
      </c>
      <c r="X67" s="354"/>
      <c r="Y67" s="354"/>
      <c r="Z67" s="514" t="str">
        <f aca="false">Build!AI679</f>
        <v>Effect</v>
      </c>
      <c r="AA67" s="514"/>
      <c r="AB67" s="514"/>
      <c r="AC67" s="516" t="e">
        <f aca="false">IF(Z67&lt;&gt;"",VLOOKUP(LEFT(Z67,FIND("+",Z67&amp;"+")-1),Build!X$596:Y$603,2,0)+IF(LEN(Z67)&gt;2,MID(Z67,FIND("+",Z67&amp;"+")+1,2),0),"")</f>
        <v>#N/A</v>
      </c>
      <c r="AD67" s="516"/>
      <c r="AE67" s="517" t="e">
        <f aca="true">IF(AC67&lt;&gt;"",OFFSET(ActionDice,AC67,0),"")</f>
        <v>#N/A</v>
      </c>
      <c r="AF67" s="517"/>
      <c r="AG67" s="517"/>
      <c r="AH67" s="517"/>
      <c r="AI67" s="517"/>
      <c r="AJ67" s="517"/>
      <c r="AK67" s="508" t="str">
        <f aca="true">IF(Build!AC679,OFFSET(Spells!AD$2,Build!AC679,0),"")</f>
        <v/>
      </c>
      <c r="AL67" s="508"/>
      <c r="AM67" s="508"/>
    </row>
    <row r="68" customFormat="false" ht="11.1" hidden="false" customHeight="true" outlineLevel="0" collapsed="false">
      <c r="A68" s="498"/>
      <c r="B68" s="498"/>
      <c r="C68" s="499" t="str">
        <f aca="true">IF(Build!AC680,OFFSET(Spells!V$2,Build!AC680,0),"")</f>
        <v/>
      </c>
      <c r="D68" s="499"/>
      <c r="E68" s="499"/>
      <c r="F68" s="499"/>
      <c r="G68" s="499"/>
      <c r="H68" s="499"/>
      <c r="I68" s="499"/>
      <c r="J68" s="499"/>
      <c r="K68" s="499"/>
      <c r="L68" s="500" t="str">
        <f aca="true">IF(Build!AC680,OFFSET(Spells!W$2,Build!AC680,0),"")</f>
        <v/>
      </c>
      <c r="M68" s="500"/>
      <c r="N68" s="500" t="str">
        <f aca="true">IF(Build!AC680,OFFSET(Spells!X$2,Build!AC680,0),"")</f>
        <v/>
      </c>
      <c r="O68" s="500"/>
      <c r="P68" s="500" t="str">
        <f aca="true">IF(Build!AC680,OFFSET(Spells!Y$2,Build!AC680,0),"")</f>
        <v/>
      </c>
      <c r="Q68" s="500"/>
      <c r="R68" s="500" t="str">
        <f aca="true">IF(Build!AC680,OFFSET(Spells!Z$2,Build!AC680,0),"")</f>
        <v/>
      </c>
      <c r="S68" s="500"/>
      <c r="T68" s="500" t="str">
        <f aca="true">IF(Build!AC680,OFFSET(Spells!AA$2,Build!AC680,0),"")</f>
        <v/>
      </c>
      <c r="U68" s="500"/>
      <c r="V68" s="500"/>
      <c r="W68" s="500" t="str">
        <f aca="true">IF(Build!AC680,OFFSET(Spells!AC$2,Build!AC680,0),"")</f>
        <v/>
      </c>
      <c r="X68" s="500"/>
      <c r="Y68" s="500"/>
      <c r="Z68" s="514" t="str">
        <f aca="false">Build!AI680</f>
        <v>Effect</v>
      </c>
      <c r="AA68" s="514"/>
      <c r="AB68" s="514"/>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IF(Build!AC680,OFFSET(Spells!AD$2,Build!AC680,0),"")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8" activeCellId="0" sqref="C8"/>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33"/>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67"/>
    <col collapsed="false" customWidth="true" hidden="false" outlineLevel="0" max="16" min="16" style="0" width="2.82"/>
    <col collapsed="false" customWidth="true" hidden="false" outlineLevel="0" max="17" min="17" style="0" width="3.33"/>
    <col collapsed="false" customWidth="true" hidden="false" outlineLevel="0" max="18" min="18" style="0" width="2.82"/>
    <col collapsed="false" customWidth="true" hidden="false" outlineLevel="0" max="19" min="19" style="0" width="3.67"/>
    <col collapsed="false" customWidth="true" hidden="false" outlineLevel="0" max="27" min="20" style="0" width="2.82"/>
    <col collapsed="false" customWidth="true" hidden="false" outlineLevel="0" max="28" min="28" style="0" width="45.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1190</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1167</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1168</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1077</v>
      </c>
      <c r="B4" s="518"/>
      <c r="C4" s="519" t="s">
        <v>1179</v>
      </c>
      <c r="D4" s="519"/>
      <c r="E4" s="519"/>
      <c r="F4" s="519"/>
      <c r="G4" s="519"/>
      <c r="H4" s="519"/>
      <c r="I4" s="519"/>
      <c r="J4" s="519"/>
      <c r="K4" s="519"/>
      <c r="L4" s="488" t="s">
        <v>981</v>
      </c>
      <c r="M4" s="488"/>
      <c r="N4" s="488" t="s">
        <v>179</v>
      </c>
      <c r="O4" s="488"/>
      <c r="P4" s="489" t="s">
        <v>1189</v>
      </c>
      <c r="Q4" s="489"/>
      <c r="R4" s="489" t="s">
        <v>1187</v>
      </c>
      <c r="S4" s="489"/>
      <c r="T4" s="488" t="s">
        <v>338</v>
      </c>
      <c r="U4" s="488"/>
      <c r="V4" s="488"/>
      <c r="W4" s="488" t="s">
        <v>1184</v>
      </c>
      <c r="X4" s="488"/>
      <c r="Y4" s="488"/>
      <c r="Z4" s="488" t="s">
        <v>877</v>
      </c>
      <c r="AA4" s="488"/>
      <c r="AB4" s="488"/>
      <c r="AC4" s="488" t="s">
        <v>341</v>
      </c>
      <c r="AD4" s="488"/>
      <c r="AE4" s="488" t="s">
        <v>979</v>
      </c>
      <c r="AF4" s="488"/>
      <c r="AG4" s="488"/>
      <c r="AH4" s="488"/>
      <c r="AI4" s="488"/>
      <c r="AJ4" s="488"/>
      <c r="AK4" s="506" t="s">
        <v>1185</v>
      </c>
      <c r="AL4" s="506"/>
      <c r="AM4" s="506"/>
    </row>
    <row r="5" customFormat="false" ht="11.1" hidden="false" customHeight="true" outlineLevel="0" collapsed="false">
      <c r="A5" s="389"/>
      <c r="B5" s="389"/>
      <c r="C5" s="491" t="str">
        <f aca="true">IF(Build!AD617,OFFSET(Spells!AF$2,Build!AD617,0),"")</f>
        <v/>
      </c>
      <c r="D5" s="491"/>
      <c r="E5" s="491"/>
      <c r="F5" s="491"/>
      <c r="G5" s="491"/>
      <c r="H5" s="491"/>
      <c r="I5" s="491"/>
      <c r="J5" s="491"/>
      <c r="K5" s="491"/>
      <c r="L5" s="492" t="str">
        <f aca="true">IF(Build!AD617,OFFSET(Spells!AG$2,Build!AD617,0),"")</f>
        <v/>
      </c>
      <c r="M5" s="492"/>
      <c r="N5" s="492" t="str">
        <f aca="true">IF(Build!AD617,OFFSET(Spells!AH$2,Build!AD617,0),"")</f>
        <v/>
      </c>
      <c r="O5" s="492"/>
      <c r="P5" s="492" t="str">
        <f aca="true">IF(Build!AD617,OFFSET(Spells!AI$2,Build!AD617,0),"")</f>
        <v/>
      </c>
      <c r="Q5" s="492"/>
      <c r="R5" s="492" t="str">
        <f aca="true">IF(Build!AD617,OFFSET(Spells!AJ$2,Build!AD617,0),"")</f>
        <v/>
      </c>
      <c r="S5" s="492"/>
      <c r="T5" s="492" t="str">
        <f aca="true">IF(Build!AD617,OFFSET(Spells!AK$2,Build!AD617,0),"")</f>
        <v/>
      </c>
      <c r="U5" s="492"/>
      <c r="V5" s="492"/>
      <c r="W5" s="492" t="str">
        <f aca="true">IF(Build!AD617,OFFSET(Spells!AM$2,Build!AD617,0),"")</f>
        <v/>
      </c>
      <c r="X5" s="492"/>
      <c r="Y5" s="492"/>
      <c r="Z5" s="507" t="str">
        <f aca="false">Build!AJ617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IF(Build!AD617,OFFSET(Spells!AN$2,Build!AD617,0),"")</f>
        <v/>
      </c>
      <c r="AL5" s="508"/>
      <c r="AM5" s="508"/>
    </row>
    <row r="6" customFormat="false" ht="11.1" hidden="false" customHeight="true" outlineLevel="0" collapsed="false">
      <c r="A6" s="389"/>
      <c r="B6" s="389"/>
      <c r="C6" s="491" t="str">
        <f aca="true">IF(Build!AD618,OFFSET(Spells!AF$2,Build!AD618,0),"")</f>
        <v/>
      </c>
      <c r="D6" s="491"/>
      <c r="E6" s="491"/>
      <c r="F6" s="491"/>
      <c r="G6" s="491"/>
      <c r="H6" s="491"/>
      <c r="I6" s="491"/>
      <c r="J6" s="491"/>
      <c r="K6" s="491"/>
      <c r="L6" s="492" t="str">
        <f aca="true">IF(Build!AD618,OFFSET(Spells!AG$2,Build!AD618,0),"")</f>
        <v/>
      </c>
      <c r="M6" s="492"/>
      <c r="N6" s="492" t="str">
        <f aca="true">IF(Build!AD618,OFFSET(Spells!AH$2,Build!AD618,0),"")</f>
        <v/>
      </c>
      <c r="O6" s="492"/>
      <c r="P6" s="492" t="str">
        <f aca="true">IF(Build!AD618,OFFSET(Spells!AI$2,Build!AD618,0),"")</f>
        <v/>
      </c>
      <c r="Q6" s="492"/>
      <c r="R6" s="492" t="str">
        <f aca="true">IF(Build!AD618,OFFSET(Spells!AJ$2,Build!AD618,0),"")</f>
        <v/>
      </c>
      <c r="S6" s="492"/>
      <c r="T6" s="492" t="str">
        <f aca="true">IF(Build!AD618,OFFSET(Spells!AK$2,Build!AD618,0),"")</f>
        <v/>
      </c>
      <c r="U6" s="492"/>
      <c r="V6" s="492"/>
      <c r="W6" s="492" t="str">
        <f aca="true">IF(Build!AD618,OFFSET(Spells!AM$2,Build!AD618,0),"")</f>
        <v/>
      </c>
      <c r="X6" s="492"/>
      <c r="Y6" s="492"/>
      <c r="Z6" s="507" t="str">
        <f aca="false">Build!AJ618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IF(Build!AD618,OFFSET(Spells!AN$2,Build!AD618,0),"")</f>
        <v/>
      </c>
      <c r="AL6" s="508"/>
      <c r="AM6" s="508"/>
    </row>
    <row r="7" customFormat="false" ht="11.1" hidden="false" customHeight="true" outlineLevel="0" collapsed="false">
      <c r="A7" s="389"/>
      <c r="B7" s="389"/>
      <c r="C7" s="491" t="str">
        <f aca="true">IF(Build!AD619,OFFSET(Spells!AF$2,Build!AD619,0),"")</f>
        <v/>
      </c>
      <c r="D7" s="491"/>
      <c r="E7" s="491"/>
      <c r="F7" s="491"/>
      <c r="G7" s="491"/>
      <c r="H7" s="491"/>
      <c r="I7" s="491"/>
      <c r="J7" s="491"/>
      <c r="K7" s="491"/>
      <c r="L7" s="492" t="str">
        <f aca="true">IF(Build!AD619,OFFSET(Spells!AG$2,Build!AD619,0),"")</f>
        <v/>
      </c>
      <c r="M7" s="492"/>
      <c r="N7" s="492" t="str">
        <f aca="true">IF(Build!AD619,OFFSET(Spells!AH$2,Build!AD619,0),"")</f>
        <v/>
      </c>
      <c r="O7" s="492"/>
      <c r="P7" s="492" t="str">
        <f aca="true">IF(Build!AD619,OFFSET(Spells!AI$2,Build!AD619,0),"")</f>
        <v/>
      </c>
      <c r="Q7" s="492"/>
      <c r="R7" s="492" t="str">
        <f aca="true">IF(Build!AD619,OFFSET(Spells!AJ$2,Build!AD619,0),"")</f>
        <v/>
      </c>
      <c r="S7" s="492"/>
      <c r="T7" s="492" t="str">
        <f aca="true">IF(Build!AD619,OFFSET(Spells!AK$2,Build!AD619,0),"")</f>
        <v/>
      </c>
      <c r="U7" s="492"/>
      <c r="V7" s="492"/>
      <c r="W7" s="492" t="str">
        <f aca="true">IF(Build!AD619,OFFSET(Spells!AM$2,Build!AD619,0),"")</f>
        <v/>
      </c>
      <c r="X7" s="492"/>
      <c r="Y7" s="492"/>
      <c r="Z7" s="507" t="str">
        <f aca="false">Build!AJ619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IF(Build!AD619,OFFSET(Spells!AN$2,Build!AD619,0),"")</f>
        <v/>
      </c>
      <c r="AL7" s="508"/>
      <c r="AM7" s="508"/>
    </row>
    <row r="8" customFormat="false" ht="11.1" hidden="false" customHeight="true" outlineLevel="0" collapsed="false">
      <c r="A8" s="389"/>
      <c r="B8" s="389"/>
      <c r="C8" s="491" t="str">
        <f aca="true">IF(Build!AD620,OFFSET(Spells!AF$2,Build!AD620,0),"")</f>
        <v/>
      </c>
      <c r="D8" s="491"/>
      <c r="E8" s="491"/>
      <c r="F8" s="491"/>
      <c r="G8" s="491"/>
      <c r="H8" s="491"/>
      <c r="I8" s="491"/>
      <c r="J8" s="491"/>
      <c r="K8" s="491"/>
      <c r="L8" s="492" t="str">
        <f aca="true">IF(Build!AD620,OFFSET(Spells!AG$2,Build!AD620,0),"")</f>
        <v/>
      </c>
      <c r="M8" s="492"/>
      <c r="N8" s="492" t="str">
        <f aca="true">IF(Build!AD620,OFFSET(Spells!AH$2,Build!AD620,0),"")</f>
        <v/>
      </c>
      <c r="O8" s="492"/>
      <c r="P8" s="492" t="str">
        <f aca="true">IF(Build!AD620,OFFSET(Spells!AI$2,Build!AD620,0),"")</f>
        <v/>
      </c>
      <c r="Q8" s="492"/>
      <c r="R8" s="492" t="str">
        <f aca="true">IF(Build!AD620,OFFSET(Spells!AJ$2,Build!AD620,0),"")</f>
        <v/>
      </c>
      <c r="S8" s="492"/>
      <c r="T8" s="492" t="str">
        <f aca="true">IF(Build!AD620,OFFSET(Spells!AK$2,Build!AD620,0),"")</f>
        <v/>
      </c>
      <c r="U8" s="492"/>
      <c r="V8" s="492"/>
      <c r="W8" s="492" t="str">
        <f aca="true">IF(Build!AD620,OFFSET(Spells!AM$2,Build!AD620,0),"")</f>
        <v/>
      </c>
      <c r="X8" s="492"/>
      <c r="Y8" s="492"/>
      <c r="Z8" s="507" t="str">
        <f aca="false">Build!AJ620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IF(Build!AD620,OFFSET(Spells!AN$2,Build!AD620,0),"")</f>
        <v/>
      </c>
      <c r="AL8" s="508"/>
      <c r="AM8" s="508"/>
    </row>
    <row r="9" customFormat="false" ht="11.1" hidden="false" customHeight="true" outlineLevel="0" collapsed="false">
      <c r="A9" s="389"/>
      <c r="B9" s="389"/>
      <c r="C9" s="491" t="str">
        <f aca="true">IF(Build!AD621,OFFSET(Spells!AF$2,Build!AD621,0),"")</f>
        <v/>
      </c>
      <c r="D9" s="491"/>
      <c r="E9" s="491"/>
      <c r="F9" s="491"/>
      <c r="G9" s="491"/>
      <c r="H9" s="491"/>
      <c r="I9" s="491"/>
      <c r="J9" s="491"/>
      <c r="K9" s="491"/>
      <c r="L9" s="492" t="str">
        <f aca="true">IF(Build!AD621,OFFSET(Spells!AG$2,Build!AD621,0),"")</f>
        <v/>
      </c>
      <c r="M9" s="492"/>
      <c r="N9" s="492" t="str">
        <f aca="true">IF(Build!AD621,OFFSET(Spells!AH$2,Build!AD621,0),"")</f>
        <v/>
      </c>
      <c r="O9" s="492"/>
      <c r="P9" s="492" t="str">
        <f aca="true">IF(Build!AD621,OFFSET(Spells!AI$2,Build!AD621,0),"")</f>
        <v/>
      </c>
      <c r="Q9" s="492"/>
      <c r="R9" s="492" t="str">
        <f aca="true">IF(Build!AD621,OFFSET(Spells!AJ$2,Build!AD621,0),"")</f>
        <v/>
      </c>
      <c r="S9" s="492"/>
      <c r="T9" s="492" t="str">
        <f aca="true">IF(Build!AD621,OFFSET(Spells!AK$2,Build!AD621,0),"")</f>
        <v/>
      </c>
      <c r="U9" s="492"/>
      <c r="V9" s="492"/>
      <c r="W9" s="492" t="str">
        <f aca="true">IF(Build!AD621,OFFSET(Spells!AM$2,Build!AD621,0),"")</f>
        <v/>
      </c>
      <c r="X9" s="492"/>
      <c r="Y9" s="492"/>
      <c r="Z9" s="507" t="str">
        <f aca="false">Build!AJ621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IF(Build!AD621,OFFSET(Spells!AN$2,Build!AD621,0),"")</f>
        <v/>
      </c>
      <c r="AL9" s="508"/>
      <c r="AM9" s="508"/>
    </row>
    <row r="10" customFormat="false" ht="11.1" hidden="false" customHeight="true" outlineLevel="0" collapsed="false">
      <c r="A10" s="389"/>
      <c r="B10" s="389"/>
      <c r="C10" s="491" t="str">
        <f aca="true">IF(Build!AD622,OFFSET(Spells!AF$2,Build!AD622,0),"")</f>
        <v/>
      </c>
      <c r="D10" s="491"/>
      <c r="E10" s="491"/>
      <c r="F10" s="491"/>
      <c r="G10" s="491"/>
      <c r="H10" s="491"/>
      <c r="I10" s="491"/>
      <c r="J10" s="491"/>
      <c r="K10" s="491"/>
      <c r="L10" s="492" t="str">
        <f aca="true">IF(Build!AD622,OFFSET(Spells!AG$2,Build!AD622,0),"")</f>
        <v/>
      </c>
      <c r="M10" s="492"/>
      <c r="N10" s="492" t="str">
        <f aca="true">IF(Build!AD622,OFFSET(Spells!AH$2,Build!AD622,0),"")</f>
        <v/>
      </c>
      <c r="O10" s="492"/>
      <c r="P10" s="492" t="str">
        <f aca="true">IF(Build!AD622,OFFSET(Spells!AI$2,Build!AD622,0),"")</f>
        <v/>
      </c>
      <c r="Q10" s="492"/>
      <c r="R10" s="492" t="str">
        <f aca="true">IF(Build!AD622,OFFSET(Spells!AJ$2,Build!AD622,0),"")</f>
        <v/>
      </c>
      <c r="S10" s="492"/>
      <c r="T10" s="492" t="str">
        <f aca="true">IF(Build!AD622,OFFSET(Spells!AK$2,Build!AD622,0),"")</f>
        <v/>
      </c>
      <c r="U10" s="492"/>
      <c r="V10" s="492"/>
      <c r="W10" s="492" t="str">
        <f aca="true">IF(Build!AD622,OFFSET(Spells!AM$2,Build!AD622,0),"")</f>
        <v/>
      </c>
      <c r="X10" s="492"/>
      <c r="Y10" s="492"/>
      <c r="Z10" s="507" t="str">
        <f aca="false">Build!AJ622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IF(Build!AD622,OFFSET(Spells!AN$2,Build!AD622,0),"")</f>
        <v/>
      </c>
      <c r="AL10" s="508"/>
      <c r="AM10" s="508"/>
    </row>
    <row r="11" customFormat="false" ht="11.1" hidden="false" customHeight="true" outlineLevel="0" collapsed="false">
      <c r="A11" s="389"/>
      <c r="B11" s="389"/>
      <c r="C11" s="491" t="str">
        <f aca="true">IF(Build!AD623,OFFSET(Spells!AF$2,Build!AD623,0),"")</f>
        <v/>
      </c>
      <c r="D11" s="491"/>
      <c r="E11" s="491"/>
      <c r="F11" s="491"/>
      <c r="G11" s="491"/>
      <c r="H11" s="491"/>
      <c r="I11" s="491"/>
      <c r="J11" s="491"/>
      <c r="K11" s="491"/>
      <c r="L11" s="492" t="str">
        <f aca="true">IF(Build!AD623,OFFSET(Spells!AG$2,Build!AD623,0),"")</f>
        <v/>
      </c>
      <c r="M11" s="492"/>
      <c r="N11" s="492" t="str">
        <f aca="true">IF(Build!AD623,OFFSET(Spells!AH$2,Build!AD623,0),"")</f>
        <v/>
      </c>
      <c r="O11" s="492"/>
      <c r="P11" s="492" t="str">
        <f aca="true">IF(Build!AD623,OFFSET(Spells!AI$2,Build!AD623,0),"")</f>
        <v/>
      </c>
      <c r="Q11" s="492"/>
      <c r="R11" s="492" t="str">
        <f aca="true">IF(Build!AD623,OFFSET(Spells!AJ$2,Build!AD623,0),"")</f>
        <v/>
      </c>
      <c r="S11" s="492"/>
      <c r="T11" s="492" t="str">
        <f aca="true">IF(Build!AD623,OFFSET(Spells!AK$2,Build!AD623,0),"")</f>
        <v/>
      </c>
      <c r="U11" s="492"/>
      <c r="V11" s="492"/>
      <c r="W11" s="492" t="str">
        <f aca="true">IF(Build!AD623,OFFSET(Spells!AM$2,Build!AD623,0),"")</f>
        <v/>
      </c>
      <c r="X11" s="492"/>
      <c r="Y11" s="492"/>
      <c r="Z11" s="507" t="str">
        <f aca="false">Build!AJ623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IF(Build!AD623,OFFSET(Spells!AN$2,Build!AD623,0),"")</f>
        <v/>
      </c>
      <c r="AL11" s="508"/>
      <c r="AM11" s="508"/>
    </row>
    <row r="12" customFormat="false" ht="11.1" hidden="false" customHeight="true" outlineLevel="0" collapsed="false">
      <c r="A12" s="389"/>
      <c r="B12" s="389"/>
      <c r="C12" s="491" t="str">
        <f aca="true">IF(Build!AD624,OFFSET(Spells!AF$2,Build!AD624,0),"")</f>
        <v/>
      </c>
      <c r="D12" s="491"/>
      <c r="E12" s="491"/>
      <c r="F12" s="491"/>
      <c r="G12" s="491"/>
      <c r="H12" s="491"/>
      <c r="I12" s="491"/>
      <c r="J12" s="491"/>
      <c r="K12" s="491"/>
      <c r="L12" s="492" t="str">
        <f aca="true">IF(Build!AD624,OFFSET(Spells!AG$2,Build!AD624,0),"")</f>
        <v/>
      </c>
      <c r="M12" s="492"/>
      <c r="N12" s="492" t="str">
        <f aca="true">IF(Build!AD624,OFFSET(Spells!AH$2,Build!AD624,0),"")</f>
        <v/>
      </c>
      <c r="O12" s="492"/>
      <c r="P12" s="492" t="str">
        <f aca="true">IF(Build!AD624,OFFSET(Spells!AI$2,Build!AD624,0),"")</f>
        <v/>
      </c>
      <c r="Q12" s="492"/>
      <c r="R12" s="492" t="str">
        <f aca="true">IF(Build!AD624,OFFSET(Spells!AJ$2,Build!AD624,0),"")</f>
        <v/>
      </c>
      <c r="S12" s="492"/>
      <c r="T12" s="492" t="str">
        <f aca="true">IF(Build!AD624,OFFSET(Spells!AK$2,Build!AD624,0),"")</f>
        <v/>
      </c>
      <c r="U12" s="492"/>
      <c r="V12" s="492"/>
      <c r="W12" s="492" t="str">
        <f aca="true">IF(Build!AD624,OFFSET(Spells!AM$2,Build!AD624,0),"")</f>
        <v/>
      </c>
      <c r="X12" s="492"/>
      <c r="Y12" s="492"/>
      <c r="Z12" s="507" t="str">
        <f aca="false">Build!AJ624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IF(Build!AD624,OFFSET(Spells!AN$2,Build!AD624,0),"")</f>
        <v/>
      </c>
      <c r="AL12" s="508"/>
      <c r="AM12" s="508"/>
    </row>
    <row r="13" customFormat="false" ht="11.1" hidden="false" customHeight="true" outlineLevel="0" collapsed="false">
      <c r="A13" s="389"/>
      <c r="B13" s="389"/>
      <c r="C13" s="491" t="str">
        <f aca="true">IF(Build!AD625,OFFSET(Spells!AF$2,Build!AD625,0),"")</f>
        <v/>
      </c>
      <c r="D13" s="491"/>
      <c r="E13" s="491"/>
      <c r="F13" s="491"/>
      <c r="G13" s="491"/>
      <c r="H13" s="491"/>
      <c r="I13" s="491"/>
      <c r="J13" s="491"/>
      <c r="K13" s="491"/>
      <c r="L13" s="492" t="str">
        <f aca="true">IF(Build!AD625,OFFSET(Spells!AG$2,Build!AD625,0),"")</f>
        <v/>
      </c>
      <c r="M13" s="492"/>
      <c r="N13" s="492" t="str">
        <f aca="true">IF(Build!AD625,OFFSET(Spells!AH$2,Build!AD625,0),"")</f>
        <v/>
      </c>
      <c r="O13" s="492"/>
      <c r="P13" s="492" t="str">
        <f aca="true">IF(Build!AD625,OFFSET(Spells!AI$2,Build!AD625,0),"")</f>
        <v/>
      </c>
      <c r="Q13" s="492"/>
      <c r="R13" s="492" t="str">
        <f aca="true">IF(Build!AD625,OFFSET(Spells!AJ$2,Build!AD625,0),"")</f>
        <v/>
      </c>
      <c r="S13" s="492"/>
      <c r="T13" s="492" t="str">
        <f aca="true">IF(Build!AD625,OFFSET(Spells!AK$2,Build!AD625,0),"")</f>
        <v/>
      </c>
      <c r="U13" s="492"/>
      <c r="V13" s="492"/>
      <c r="W13" s="492" t="str">
        <f aca="true">IF(Build!AD625,OFFSET(Spells!AM$2,Build!AD625,0),"")</f>
        <v/>
      </c>
      <c r="X13" s="492"/>
      <c r="Y13" s="492"/>
      <c r="Z13" s="507" t="str">
        <f aca="false">Build!AJ625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IF(Build!AD625,OFFSET(Spells!AN$2,Build!AD625,0),"")</f>
        <v/>
      </c>
      <c r="AL13" s="508"/>
      <c r="AM13" s="508"/>
    </row>
    <row r="14" customFormat="false" ht="11.1" hidden="false" customHeight="true" outlineLevel="0" collapsed="false">
      <c r="A14" s="389"/>
      <c r="B14" s="389"/>
      <c r="C14" s="491" t="str">
        <f aca="true">IF(Build!AD626,OFFSET(Spells!AF$2,Build!AD626,0),"")</f>
        <v/>
      </c>
      <c r="D14" s="491"/>
      <c r="E14" s="491"/>
      <c r="F14" s="491"/>
      <c r="G14" s="491"/>
      <c r="H14" s="491"/>
      <c r="I14" s="491"/>
      <c r="J14" s="491"/>
      <c r="K14" s="491"/>
      <c r="L14" s="492" t="str">
        <f aca="true">IF(Build!AD626,OFFSET(Spells!AG$2,Build!AD626,0),"")</f>
        <v/>
      </c>
      <c r="M14" s="492"/>
      <c r="N14" s="492" t="str">
        <f aca="true">IF(Build!AD626,OFFSET(Spells!AH$2,Build!AD626,0),"")</f>
        <v/>
      </c>
      <c r="O14" s="492"/>
      <c r="P14" s="492" t="str">
        <f aca="true">IF(Build!AD626,OFFSET(Spells!AI$2,Build!AD626,0),"")</f>
        <v/>
      </c>
      <c r="Q14" s="492"/>
      <c r="R14" s="492" t="str">
        <f aca="true">IF(Build!AD626,OFFSET(Spells!AJ$2,Build!AD626,0),"")</f>
        <v/>
      </c>
      <c r="S14" s="492"/>
      <c r="T14" s="492" t="str">
        <f aca="true">IF(Build!AD626,OFFSET(Spells!AK$2,Build!AD626,0),"")</f>
        <v/>
      </c>
      <c r="U14" s="492"/>
      <c r="V14" s="492"/>
      <c r="W14" s="492" t="str">
        <f aca="true">IF(Build!AD626,OFFSET(Spells!AM$2,Build!AD626,0),"")</f>
        <v/>
      </c>
      <c r="X14" s="492"/>
      <c r="Y14" s="492"/>
      <c r="Z14" s="507" t="str">
        <f aca="false">Build!AJ626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IF(Build!AD626,OFFSET(Spells!AN$2,Build!AD626,0),"")</f>
        <v/>
      </c>
      <c r="AL14" s="508"/>
      <c r="AM14" s="508"/>
    </row>
    <row r="15" customFormat="false" ht="11.1" hidden="false" customHeight="true" outlineLevel="0" collapsed="false">
      <c r="A15" s="389"/>
      <c r="B15" s="389"/>
      <c r="C15" s="491" t="str">
        <f aca="true">IF(Build!AD627,OFFSET(Spells!AF$2,Build!AD627,0),"")</f>
        <v/>
      </c>
      <c r="D15" s="491"/>
      <c r="E15" s="491"/>
      <c r="F15" s="491"/>
      <c r="G15" s="491"/>
      <c r="H15" s="491"/>
      <c r="I15" s="491"/>
      <c r="J15" s="491"/>
      <c r="K15" s="491"/>
      <c r="L15" s="492" t="str">
        <f aca="true">IF(Build!AD627,OFFSET(Spells!AG$2,Build!AD627,0),"")</f>
        <v/>
      </c>
      <c r="M15" s="492"/>
      <c r="N15" s="492" t="str">
        <f aca="true">IF(Build!AD627,OFFSET(Spells!AH$2,Build!AD627,0),"")</f>
        <v/>
      </c>
      <c r="O15" s="492"/>
      <c r="P15" s="492" t="str">
        <f aca="true">IF(Build!AD627,OFFSET(Spells!AI$2,Build!AD627,0),"")</f>
        <v/>
      </c>
      <c r="Q15" s="492"/>
      <c r="R15" s="492" t="str">
        <f aca="true">IF(Build!AD627,OFFSET(Spells!AJ$2,Build!AD627,0),"")</f>
        <v/>
      </c>
      <c r="S15" s="492"/>
      <c r="T15" s="492" t="str">
        <f aca="true">IF(Build!AD627,OFFSET(Spells!AK$2,Build!AD627,0),"")</f>
        <v/>
      </c>
      <c r="U15" s="492"/>
      <c r="V15" s="492"/>
      <c r="W15" s="492" t="str">
        <f aca="true">IF(Build!AD627,OFFSET(Spells!AM$2,Build!AD627,0),"")</f>
        <v/>
      </c>
      <c r="X15" s="492"/>
      <c r="Y15" s="492"/>
      <c r="Z15" s="507" t="str">
        <f aca="false">Build!AJ627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IF(Build!AD627,OFFSET(Spells!AN$2,Build!AD627,0),"")</f>
        <v/>
      </c>
      <c r="AL15" s="508"/>
      <c r="AM15" s="508"/>
    </row>
    <row r="16" customFormat="false" ht="11.1" hidden="false" customHeight="true" outlineLevel="0" collapsed="false">
      <c r="A16" s="389"/>
      <c r="B16" s="389"/>
      <c r="C16" s="491" t="str">
        <f aca="true">IF(Build!AD628,OFFSET(Spells!AF$2,Build!AD628,0),"")</f>
        <v/>
      </c>
      <c r="D16" s="491"/>
      <c r="E16" s="491"/>
      <c r="F16" s="491"/>
      <c r="G16" s="491"/>
      <c r="H16" s="491"/>
      <c r="I16" s="491"/>
      <c r="J16" s="491"/>
      <c r="K16" s="491"/>
      <c r="L16" s="492" t="str">
        <f aca="true">IF(Build!AD628,OFFSET(Spells!AG$2,Build!AD628,0),"")</f>
        <v/>
      </c>
      <c r="M16" s="492"/>
      <c r="N16" s="492" t="str">
        <f aca="true">IF(Build!AD628,OFFSET(Spells!AH$2,Build!AD628,0),"")</f>
        <v/>
      </c>
      <c r="O16" s="492"/>
      <c r="P16" s="492" t="str">
        <f aca="true">IF(Build!AD628,OFFSET(Spells!AI$2,Build!AD628,0),"")</f>
        <v/>
      </c>
      <c r="Q16" s="492"/>
      <c r="R16" s="492" t="str">
        <f aca="true">IF(Build!AD628,OFFSET(Spells!AJ$2,Build!AD628,0),"")</f>
        <v/>
      </c>
      <c r="S16" s="492"/>
      <c r="T16" s="492" t="str">
        <f aca="true">IF(Build!AD628,OFFSET(Spells!AK$2,Build!AD628,0),"")</f>
        <v/>
      </c>
      <c r="U16" s="492"/>
      <c r="V16" s="492"/>
      <c r="W16" s="492" t="str">
        <f aca="true">IF(Build!AD628,OFFSET(Spells!AM$2,Build!AD628,0),"")</f>
        <v/>
      </c>
      <c r="X16" s="492"/>
      <c r="Y16" s="492"/>
      <c r="Z16" s="507" t="str">
        <f aca="false">Build!AJ628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IF(Build!AD628,OFFSET(Spells!AN$2,Build!AD628,0),"")</f>
        <v/>
      </c>
      <c r="AL16" s="508"/>
      <c r="AM16" s="508"/>
    </row>
    <row r="17" customFormat="false" ht="11.1" hidden="false" customHeight="true" outlineLevel="0" collapsed="false">
      <c r="A17" s="389"/>
      <c r="B17" s="389"/>
      <c r="C17" s="491" t="str">
        <f aca="true">IF(Build!AD629,OFFSET(Spells!AF$2,Build!AD629,0),"")</f>
        <v/>
      </c>
      <c r="D17" s="491"/>
      <c r="E17" s="491"/>
      <c r="F17" s="491"/>
      <c r="G17" s="491"/>
      <c r="H17" s="491"/>
      <c r="I17" s="491"/>
      <c r="J17" s="491"/>
      <c r="K17" s="491"/>
      <c r="L17" s="492" t="str">
        <f aca="true">IF(Build!AD629,OFFSET(Spells!AG$2,Build!AD629,0),"")</f>
        <v/>
      </c>
      <c r="M17" s="492"/>
      <c r="N17" s="492" t="str">
        <f aca="true">IF(Build!AD629,OFFSET(Spells!AH$2,Build!AD629,0),"")</f>
        <v/>
      </c>
      <c r="O17" s="492"/>
      <c r="P17" s="492" t="str">
        <f aca="true">IF(Build!AD629,OFFSET(Spells!AI$2,Build!AD629,0),"")</f>
        <v/>
      </c>
      <c r="Q17" s="492"/>
      <c r="R17" s="492" t="str">
        <f aca="true">IF(Build!AD629,OFFSET(Spells!AJ$2,Build!AD629,0),"")</f>
        <v/>
      </c>
      <c r="S17" s="492"/>
      <c r="T17" s="492" t="str">
        <f aca="true">IF(Build!AD629,OFFSET(Spells!AK$2,Build!AD629,0),"")</f>
        <v/>
      </c>
      <c r="U17" s="492"/>
      <c r="V17" s="492"/>
      <c r="W17" s="492" t="str">
        <f aca="true">IF(Build!AD629,OFFSET(Spells!AM$2,Build!AD629,0),"")</f>
        <v/>
      </c>
      <c r="X17" s="492"/>
      <c r="Y17" s="492"/>
      <c r="Z17" s="507" t="str">
        <f aca="false">Build!AJ629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IF(Build!AD629,OFFSET(Spells!AN$2,Build!AD629,0),"")</f>
        <v/>
      </c>
      <c r="AL17" s="508"/>
      <c r="AM17" s="508"/>
    </row>
    <row r="18" customFormat="false" ht="11.1" hidden="false" customHeight="true" outlineLevel="0" collapsed="false">
      <c r="A18" s="389"/>
      <c r="B18" s="389"/>
      <c r="C18" s="491" t="str">
        <f aca="true">IF(Build!AD630,OFFSET(Spells!AF$2,Build!AD630,0),"")</f>
        <v/>
      </c>
      <c r="D18" s="491"/>
      <c r="E18" s="491"/>
      <c r="F18" s="491"/>
      <c r="G18" s="491"/>
      <c r="H18" s="491"/>
      <c r="I18" s="491"/>
      <c r="J18" s="491"/>
      <c r="K18" s="491"/>
      <c r="L18" s="492" t="str">
        <f aca="true">IF(Build!AD630,OFFSET(Spells!AG$2,Build!AD630,0),"")</f>
        <v/>
      </c>
      <c r="M18" s="492"/>
      <c r="N18" s="492" t="str">
        <f aca="true">IF(Build!AD630,OFFSET(Spells!AH$2,Build!AD630,0),"")</f>
        <v/>
      </c>
      <c r="O18" s="492"/>
      <c r="P18" s="492" t="str">
        <f aca="true">IF(Build!AD630,OFFSET(Spells!AI$2,Build!AD630,0),"")</f>
        <v/>
      </c>
      <c r="Q18" s="492"/>
      <c r="R18" s="492" t="str">
        <f aca="true">IF(Build!AD630,OFFSET(Spells!AJ$2,Build!AD630,0),"")</f>
        <v/>
      </c>
      <c r="S18" s="492"/>
      <c r="T18" s="492" t="str">
        <f aca="true">IF(Build!AD630,OFFSET(Spells!AK$2,Build!AD630,0),"")</f>
        <v/>
      </c>
      <c r="U18" s="492"/>
      <c r="V18" s="492"/>
      <c r="W18" s="492" t="str">
        <f aca="true">IF(Build!AD630,OFFSET(Spells!AM$2,Build!AD630,0),"")</f>
        <v/>
      </c>
      <c r="X18" s="492"/>
      <c r="Y18" s="492"/>
      <c r="Z18" s="507" t="str">
        <f aca="false">Build!AJ630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IF(Build!AD630,OFFSET(Spells!AN$2,Build!AD630,0),"")</f>
        <v/>
      </c>
      <c r="AL18" s="508"/>
      <c r="AM18" s="508"/>
    </row>
    <row r="19" customFormat="false" ht="11.1" hidden="false" customHeight="true" outlineLevel="0" collapsed="false">
      <c r="A19" s="389"/>
      <c r="B19" s="389"/>
      <c r="C19" s="491" t="str">
        <f aca="true">IF(Build!AD631,OFFSET(Spells!AF$2,Build!AD631,0),"")</f>
        <v/>
      </c>
      <c r="D19" s="491"/>
      <c r="E19" s="491"/>
      <c r="F19" s="491"/>
      <c r="G19" s="491"/>
      <c r="H19" s="491"/>
      <c r="I19" s="491"/>
      <c r="J19" s="491"/>
      <c r="K19" s="491"/>
      <c r="L19" s="492" t="str">
        <f aca="true">IF(Build!AD631,OFFSET(Spells!AG$2,Build!AD631,0),"")</f>
        <v/>
      </c>
      <c r="M19" s="492"/>
      <c r="N19" s="492" t="str">
        <f aca="true">IF(Build!AD631,OFFSET(Spells!AH$2,Build!AD631,0),"")</f>
        <v/>
      </c>
      <c r="O19" s="492"/>
      <c r="P19" s="492" t="str">
        <f aca="true">IF(Build!AD631,OFFSET(Spells!AI$2,Build!AD631,0),"")</f>
        <v/>
      </c>
      <c r="Q19" s="492"/>
      <c r="R19" s="492" t="str">
        <f aca="true">IF(Build!AD631,OFFSET(Spells!AJ$2,Build!AD631,0),"")</f>
        <v/>
      </c>
      <c r="S19" s="492"/>
      <c r="T19" s="492" t="str">
        <f aca="true">IF(Build!AD631,OFFSET(Spells!AK$2,Build!AD631,0),"")</f>
        <v/>
      </c>
      <c r="U19" s="492"/>
      <c r="V19" s="492"/>
      <c r="W19" s="492" t="str">
        <f aca="true">IF(Build!AD631,OFFSET(Spells!AM$2,Build!AD631,0),"")</f>
        <v/>
      </c>
      <c r="X19" s="492"/>
      <c r="Y19" s="492"/>
      <c r="Z19" s="507" t="str">
        <f aca="false">Build!AJ631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IF(Build!AD631,OFFSET(Spells!AN$2,Build!AD631,0),"")</f>
        <v/>
      </c>
      <c r="AL19" s="508"/>
      <c r="AM19" s="508"/>
    </row>
    <row r="20" customFormat="false" ht="11.1" hidden="false" customHeight="true" outlineLevel="0" collapsed="false">
      <c r="A20" s="389"/>
      <c r="B20" s="389"/>
      <c r="C20" s="491" t="str">
        <f aca="true">IF(Build!AD632,OFFSET(Spells!AF$2,Build!AD632,0),"")</f>
        <v/>
      </c>
      <c r="D20" s="491"/>
      <c r="E20" s="491"/>
      <c r="F20" s="491"/>
      <c r="G20" s="491"/>
      <c r="H20" s="491"/>
      <c r="I20" s="491"/>
      <c r="J20" s="491"/>
      <c r="K20" s="491"/>
      <c r="L20" s="492" t="str">
        <f aca="true">IF(Build!AD632,OFFSET(Spells!AG$2,Build!AD632,0),"")</f>
        <v/>
      </c>
      <c r="M20" s="492"/>
      <c r="N20" s="492" t="str">
        <f aca="true">IF(Build!AD632,OFFSET(Spells!AH$2,Build!AD632,0),"")</f>
        <v/>
      </c>
      <c r="O20" s="492"/>
      <c r="P20" s="492" t="str">
        <f aca="true">IF(Build!AD632,OFFSET(Spells!AI$2,Build!AD632,0),"")</f>
        <v/>
      </c>
      <c r="Q20" s="492"/>
      <c r="R20" s="492" t="str">
        <f aca="true">IF(Build!AD632,OFFSET(Spells!AJ$2,Build!AD632,0),"")</f>
        <v/>
      </c>
      <c r="S20" s="492"/>
      <c r="T20" s="492" t="str">
        <f aca="true">IF(Build!AD632,OFFSET(Spells!AK$2,Build!AD632,0),"")</f>
        <v/>
      </c>
      <c r="U20" s="492"/>
      <c r="V20" s="492"/>
      <c r="W20" s="492" t="str">
        <f aca="true">IF(Build!AD632,OFFSET(Spells!AM$2,Build!AD632,0),"")</f>
        <v/>
      </c>
      <c r="X20" s="492"/>
      <c r="Y20" s="492"/>
      <c r="Z20" s="507" t="str">
        <f aca="false">Build!AJ632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IF(Build!AD632,OFFSET(Spells!AN$2,Build!AD632,0),"")</f>
        <v/>
      </c>
      <c r="AL20" s="508"/>
      <c r="AM20" s="508"/>
    </row>
    <row r="21" customFormat="false" ht="11.1" hidden="false" customHeight="true" outlineLevel="0" collapsed="false">
      <c r="A21" s="389"/>
      <c r="B21" s="389"/>
      <c r="C21" s="491" t="str">
        <f aca="true">IF(Build!AD633,OFFSET(Spells!AF$2,Build!AD633,0),"")</f>
        <v/>
      </c>
      <c r="D21" s="491"/>
      <c r="E21" s="491"/>
      <c r="F21" s="491"/>
      <c r="G21" s="491"/>
      <c r="H21" s="491"/>
      <c r="I21" s="491"/>
      <c r="J21" s="491"/>
      <c r="K21" s="491"/>
      <c r="L21" s="492" t="str">
        <f aca="true">IF(Build!AD633,OFFSET(Spells!AG$2,Build!AD633,0),"")</f>
        <v/>
      </c>
      <c r="M21" s="492"/>
      <c r="N21" s="492" t="str">
        <f aca="true">IF(Build!AD633,OFFSET(Spells!AH$2,Build!AD633,0),"")</f>
        <v/>
      </c>
      <c r="O21" s="492"/>
      <c r="P21" s="492" t="str">
        <f aca="true">IF(Build!AD633,OFFSET(Spells!AI$2,Build!AD633,0),"")</f>
        <v/>
      </c>
      <c r="Q21" s="492"/>
      <c r="R21" s="492" t="str">
        <f aca="true">IF(Build!AD633,OFFSET(Spells!AJ$2,Build!AD633,0),"")</f>
        <v/>
      </c>
      <c r="S21" s="492"/>
      <c r="T21" s="492" t="str">
        <f aca="true">IF(Build!AD633,OFFSET(Spells!AK$2,Build!AD633,0),"")</f>
        <v/>
      </c>
      <c r="U21" s="492"/>
      <c r="V21" s="492"/>
      <c r="W21" s="492" t="str">
        <f aca="true">IF(Build!AD633,OFFSET(Spells!AM$2,Build!AD633,0),"")</f>
        <v/>
      </c>
      <c r="X21" s="492"/>
      <c r="Y21" s="492"/>
      <c r="Z21" s="507" t="str">
        <f aca="false">Build!AJ633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IF(Build!AD633,OFFSET(Spells!AN$2,Build!AD633,0),"")</f>
        <v/>
      </c>
      <c r="AL21" s="508"/>
      <c r="AM21" s="508"/>
    </row>
    <row r="22" customFormat="false" ht="11.1" hidden="false" customHeight="true" outlineLevel="0" collapsed="false">
      <c r="A22" s="389"/>
      <c r="B22" s="389"/>
      <c r="C22" s="491" t="str">
        <f aca="true">IF(Build!AD634,OFFSET(Spells!AF$2,Build!AD634,0),"")</f>
        <v/>
      </c>
      <c r="D22" s="491"/>
      <c r="E22" s="491"/>
      <c r="F22" s="491"/>
      <c r="G22" s="491"/>
      <c r="H22" s="491"/>
      <c r="I22" s="491"/>
      <c r="J22" s="491"/>
      <c r="K22" s="491"/>
      <c r="L22" s="492" t="str">
        <f aca="true">IF(Build!AD634,OFFSET(Spells!AG$2,Build!AD634,0),"")</f>
        <v/>
      </c>
      <c r="M22" s="492"/>
      <c r="N22" s="492" t="str">
        <f aca="true">IF(Build!AD634,OFFSET(Spells!AH$2,Build!AD634,0),"")</f>
        <v/>
      </c>
      <c r="O22" s="492"/>
      <c r="P22" s="492" t="str">
        <f aca="true">IF(Build!AD634,OFFSET(Spells!AI$2,Build!AD634,0),"")</f>
        <v/>
      </c>
      <c r="Q22" s="492"/>
      <c r="R22" s="492" t="str">
        <f aca="true">IF(Build!AD634,OFFSET(Spells!AJ$2,Build!AD634,0),"")</f>
        <v/>
      </c>
      <c r="S22" s="492"/>
      <c r="T22" s="492" t="str">
        <f aca="true">IF(Build!AD634,OFFSET(Spells!AK$2,Build!AD634,0),"")</f>
        <v/>
      </c>
      <c r="U22" s="492"/>
      <c r="V22" s="492"/>
      <c r="W22" s="492" t="str">
        <f aca="true">IF(Build!AD634,OFFSET(Spells!AM$2,Build!AD634,0),"")</f>
        <v/>
      </c>
      <c r="X22" s="492"/>
      <c r="Y22" s="492"/>
      <c r="Z22" s="507" t="str">
        <f aca="false">Build!AJ634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IF(Build!AD634,OFFSET(Spells!AN$2,Build!AD634,0),"")</f>
        <v/>
      </c>
      <c r="AL22" s="508"/>
      <c r="AM22" s="508"/>
    </row>
    <row r="23" customFormat="false" ht="11.1" hidden="false" customHeight="true" outlineLevel="0" collapsed="false">
      <c r="A23" s="389"/>
      <c r="B23" s="389"/>
      <c r="C23" s="491" t="str">
        <f aca="true">IF(Build!AD635,OFFSET(Spells!AF$2,Build!AD635,0),"")</f>
        <v/>
      </c>
      <c r="D23" s="491"/>
      <c r="E23" s="491"/>
      <c r="F23" s="491"/>
      <c r="G23" s="491"/>
      <c r="H23" s="491"/>
      <c r="I23" s="491"/>
      <c r="J23" s="491"/>
      <c r="K23" s="491"/>
      <c r="L23" s="492" t="str">
        <f aca="true">IF(Build!AD635,OFFSET(Spells!AG$2,Build!AD635,0),"")</f>
        <v/>
      </c>
      <c r="M23" s="492"/>
      <c r="N23" s="492" t="str">
        <f aca="true">IF(Build!AD635,OFFSET(Spells!AH$2,Build!AD635,0),"")</f>
        <v/>
      </c>
      <c r="O23" s="492"/>
      <c r="P23" s="492" t="str">
        <f aca="true">IF(Build!AD635,OFFSET(Spells!AI$2,Build!AD635,0),"")</f>
        <v/>
      </c>
      <c r="Q23" s="492"/>
      <c r="R23" s="492" t="str">
        <f aca="true">IF(Build!AD635,OFFSET(Spells!AJ$2,Build!AD635,0),"")</f>
        <v/>
      </c>
      <c r="S23" s="492"/>
      <c r="T23" s="492" t="str">
        <f aca="true">IF(Build!AD635,OFFSET(Spells!AK$2,Build!AD635,0),"")</f>
        <v/>
      </c>
      <c r="U23" s="492"/>
      <c r="V23" s="492"/>
      <c r="W23" s="492" t="str">
        <f aca="true">IF(Build!AD635,OFFSET(Spells!AM$2,Build!AD635,0),"")</f>
        <v/>
      </c>
      <c r="X23" s="492"/>
      <c r="Y23" s="492"/>
      <c r="Z23" s="507" t="str">
        <f aca="false">Build!AJ635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IF(Build!AD635,OFFSET(Spells!AN$2,Build!AD635,0),"")</f>
        <v/>
      </c>
      <c r="AL23" s="508"/>
      <c r="AM23" s="508"/>
    </row>
    <row r="24" customFormat="false" ht="11.1" hidden="false" customHeight="true" outlineLevel="0" collapsed="false">
      <c r="A24" s="389"/>
      <c r="B24" s="389"/>
      <c r="C24" s="491" t="str">
        <f aca="true">IF(Build!AD636,OFFSET(Spells!AF$2,Build!AD636,0),"")</f>
        <v/>
      </c>
      <c r="D24" s="491"/>
      <c r="E24" s="491"/>
      <c r="F24" s="491"/>
      <c r="G24" s="491"/>
      <c r="H24" s="491"/>
      <c r="I24" s="491"/>
      <c r="J24" s="491"/>
      <c r="K24" s="491"/>
      <c r="L24" s="492" t="str">
        <f aca="true">IF(Build!AD636,OFFSET(Spells!AG$2,Build!AD636,0),"")</f>
        <v/>
      </c>
      <c r="M24" s="492"/>
      <c r="N24" s="492" t="str">
        <f aca="true">IF(Build!AD636,OFFSET(Spells!AH$2,Build!AD636,0),"")</f>
        <v/>
      </c>
      <c r="O24" s="492"/>
      <c r="P24" s="492" t="str">
        <f aca="true">IF(Build!AD636,OFFSET(Spells!AI$2,Build!AD636,0),"")</f>
        <v/>
      </c>
      <c r="Q24" s="492"/>
      <c r="R24" s="492" t="str">
        <f aca="true">IF(Build!AD636,OFFSET(Spells!AJ$2,Build!AD636,0),"")</f>
        <v/>
      </c>
      <c r="S24" s="492"/>
      <c r="T24" s="492" t="str">
        <f aca="true">IF(Build!AD636,OFFSET(Spells!AK$2,Build!AD636,0),"")</f>
        <v/>
      </c>
      <c r="U24" s="492"/>
      <c r="V24" s="492"/>
      <c r="W24" s="492" t="str">
        <f aca="true">IF(Build!AD636,OFFSET(Spells!AM$2,Build!AD636,0),"")</f>
        <v/>
      </c>
      <c r="X24" s="492"/>
      <c r="Y24" s="492"/>
      <c r="Z24" s="507" t="str">
        <f aca="false">Build!AJ636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IF(Build!AD636,OFFSET(Spells!AN$2,Build!AD636,0),"")</f>
        <v/>
      </c>
      <c r="AL24" s="508"/>
      <c r="AM24" s="508"/>
    </row>
    <row r="25" customFormat="false" ht="11.1" hidden="false" customHeight="true" outlineLevel="0" collapsed="false">
      <c r="A25" s="389"/>
      <c r="B25" s="389"/>
      <c r="C25" s="491" t="str">
        <f aca="true">IF(Build!AD637,OFFSET(Spells!AF$2,Build!AD637,0),"")</f>
        <v/>
      </c>
      <c r="D25" s="491"/>
      <c r="E25" s="491"/>
      <c r="F25" s="491"/>
      <c r="G25" s="491"/>
      <c r="H25" s="491"/>
      <c r="I25" s="491"/>
      <c r="J25" s="491"/>
      <c r="K25" s="491"/>
      <c r="L25" s="492" t="str">
        <f aca="true">IF(Build!AD637,OFFSET(Spells!AG$2,Build!AD637,0),"")</f>
        <v/>
      </c>
      <c r="M25" s="492"/>
      <c r="N25" s="492" t="str">
        <f aca="true">IF(Build!AD637,OFFSET(Spells!AH$2,Build!AD637,0),"")</f>
        <v/>
      </c>
      <c r="O25" s="492"/>
      <c r="P25" s="492" t="str">
        <f aca="true">IF(Build!AD637,OFFSET(Spells!AI$2,Build!AD637,0),"")</f>
        <v/>
      </c>
      <c r="Q25" s="492"/>
      <c r="R25" s="492" t="str">
        <f aca="true">IF(Build!AD637,OFFSET(Spells!AJ$2,Build!AD637,0),"")</f>
        <v/>
      </c>
      <c r="S25" s="492"/>
      <c r="T25" s="492" t="str">
        <f aca="true">IF(Build!AD637,OFFSET(Spells!AK$2,Build!AD637,0),"")</f>
        <v/>
      </c>
      <c r="U25" s="492"/>
      <c r="V25" s="492"/>
      <c r="W25" s="492" t="str">
        <f aca="true">IF(Build!AD637,OFFSET(Spells!AM$2,Build!AD637,0),"")</f>
        <v/>
      </c>
      <c r="X25" s="492"/>
      <c r="Y25" s="492"/>
      <c r="Z25" s="507" t="str">
        <f aca="false">Build!AJ637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IF(Build!AD637,OFFSET(Spells!AN$2,Build!AD637,0),"")</f>
        <v/>
      </c>
      <c r="AL25" s="508"/>
      <c r="AM25" s="508"/>
    </row>
    <row r="26" customFormat="false" ht="11.1" hidden="false" customHeight="true" outlineLevel="0" collapsed="false">
      <c r="A26" s="389"/>
      <c r="B26" s="389"/>
      <c r="C26" s="491" t="str">
        <f aca="true">IF(Build!AD638,OFFSET(Spells!AF$2,Build!AD638,0),"")</f>
        <v/>
      </c>
      <c r="D26" s="491"/>
      <c r="E26" s="491"/>
      <c r="F26" s="491"/>
      <c r="G26" s="491"/>
      <c r="H26" s="491"/>
      <c r="I26" s="491"/>
      <c r="J26" s="491"/>
      <c r="K26" s="491"/>
      <c r="L26" s="492" t="str">
        <f aca="true">IF(Build!AD638,OFFSET(Spells!AG$2,Build!AD638,0),"")</f>
        <v/>
      </c>
      <c r="M26" s="492"/>
      <c r="N26" s="492" t="str">
        <f aca="true">IF(Build!AD638,OFFSET(Spells!AH$2,Build!AD638,0),"")</f>
        <v/>
      </c>
      <c r="O26" s="492"/>
      <c r="P26" s="492" t="str">
        <f aca="true">IF(Build!AD638,OFFSET(Spells!AI$2,Build!AD638,0),"")</f>
        <v/>
      </c>
      <c r="Q26" s="492"/>
      <c r="R26" s="492" t="str">
        <f aca="true">IF(Build!AD638,OFFSET(Spells!AJ$2,Build!AD638,0),"")</f>
        <v/>
      </c>
      <c r="S26" s="492"/>
      <c r="T26" s="492" t="str">
        <f aca="true">IF(Build!AD638,OFFSET(Spells!AK$2,Build!AD638,0),"")</f>
        <v/>
      </c>
      <c r="U26" s="492"/>
      <c r="V26" s="492"/>
      <c r="W26" s="492" t="str">
        <f aca="true">IF(Build!AD638,OFFSET(Spells!AM$2,Build!AD638,0),"")</f>
        <v/>
      </c>
      <c r="X26" s="492"/>
      <c r="Y26" s="492"/>
      <c r="Z26" s="507" t="str">
        <f aca="false">Build!AJ638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IF(Build!AD638,OFFSET(Spells!AN$2,Build!AD638,0),"")</f>
        <v/>
      </c>
      <c r="AL26" s="508"/>
      <c r="AM26" s="508"/>
    </row>
    <row r="27" customFormat="false" ht="11.1" hidden="false" customHeight="true" outlineLevel="0" collapsed="false">
      <c r="A27" s="389"/>
      <c r="B27" s="389"/>
      <c r="C27" s="491" t="str">
        <f aca="true">IF(Build!AD639,OFFSET(Spells!AF$2,Build!AD639,0),"")</f>
        <v/>
      </c>
      <c r="D27" s="491"/>
      <c r="E27" s="491"/>
      <c r="F27" s="491"/>
      <c r="G27" s="491"/>
      <c r="H27" s="491"/>
      <c r="I27" s="491"/>
      <c r="J27" s="491"/>
      <c r="K27" s="491"/>
      <c r="L27" s="492" t="str">
        <f aca="true">IF(Build!AD639,OFFSET(Spells!AG$2,Build!AD639,0),"")</f>
        <v/>
      </c>
      <c r="M27" s="492"/>
      <c r="N27" s="492" t="str">
        <f aca="true">IF(Build!AD639,OFFSET(Spells!AH$2,Build!AD639,0),"")</f>
        <v/>
      </c>
      <c r="O27" s="492"/>
      <c r="P27" s="492" t="str">
        <f aca="true">IF(Build!AD639,OFFSET(Spells!AI$2,Build!AD639,0),"")</f>
        <v/>
      </c>
      <c r="Q27" s="492"/>
      <c r="R27" s="492" t="str">
        <f aca="true">IF(Build!AD639,OFFSET(Spells!AJ$2,Build!AD639,0),"")</f>
        <v/>
      </c>
      <c r="S27" s="492"/>
      <c r="T27" s="492" t="str">
        <f aca="true">IF(Build!AD639,OFFSET(Spells!AK$2,Build!AD639,0),"")</f>
        <v/>
      </c>
      <c r="U27" s="492"/>
      <c r="V27" s="492"/>
      <c r="W27" s="492" t="str">
        <f aca="true">IF(Build!AD639,OFFSET(Spells!AM$2,Build!AD639,0),"")</f>
        <v/>
      </c>
      <c r="X27" s="492"/>
      <c r="Y27" s="492"/>
      <c r="Z27" s="507" t="str">
        <f aca="false">Build!AJ639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IF(Build!AD639,OFFSET(Spells!AN$2,Build!AD639,0),"")</f>
        <v/>
      </c>
      <c r="AL27" s="508"/>
      <c r="AM27" s="508"/>
    </row>
    <row r="28" customFormat="false" ht="11.1" hidden="false" customHeight="true" outlineLevel="0" collapsed="false">
      <c r="A28" s="389"/>
      <c r="B28" s="389"/>
      <c r="C28" s="491" t="str">
        <f aca="true">IF(Build!AD640,OFFSET(Spells!AF$2,Build!AD640,0),"")</f>
        <v/>
      </c>
      <c r="D28" s="491"/>
      <c r="E28" s="491"/>
      <c r="F28" s="491"/>
      <c r="G28" s="491"/>
      <c r="H28" s="491"/>
      <c r="I28" s="491"/>
      <c r="J28" s="491"/>
      <c r="K28" s="491"/>
      <c r="L28" s="492" t="str">
        <f aca="true">IF(Build!AD640,OFFSET(Spells!AG$2,Build!AD640,0),"")</f>
        <v/>
      </c>
      <c r="M28" s="492"/>
      <c r="N28" s="492" t="str">
        <f aca="true">IF(Build!AD640,OFFSET(Spells!AH$2,Build!AD640,0),"")</f>
        <v/>
      </c>
      <c r="O28" s="492"/>
      <c r="P28" s="492" t="str">
        <f aca="true">IF(Build!AD640,OFFSET(Spells!AI$2,Build!AD640,0),"")</f>
        <v/>
      </c>
      <c r="Q28" s="492"/>
      <c r="R28" s="492" t="str">
        <f aca="true">IF(Build!AD640,OFFSET(Spells!AJ$2,Build!AD640,0),"")</f>
        <v/>
      </c>
      <c r="S28" s="492"/>
      <c r="T28" s="492" t="str">
        <f aca="true">IF(Build!AD640,OFFSET(Spells!AK$2,Build!AD640,0),"")</f>
        <v/>
      </c>
      <c r="U28" s="492"/>
      <c r="V28" s="492"/>
      <c r="W28" s="492" t="str">
        <f aca="true">IF(Build!AD640,OFFSET(Spells!AM$2,Build!AD640,0),"")</f>
        <v/>
      </c>
      <c r="X28" s="492"/>
      <c r="Y28" s="492"/>
      <c r="Z28" s="507" t="str">
        <f aca="false">Build!AJ640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IF(Build!AD640,OFFSET(Spells!AN$2,Build!AD640,0),"")</f>
        <v/>
      </c>
      <c r="AL28" s="508"/>
      <c r="AM28" s="508"/>
    </row>
    <row r="29" customFormat="false" ht="11.1" hidden="false" customHeight="true" outlineLevel="0" collapsed="false">
      <c r="A29" s="389"/>
      <c r="B29" s="389"/>
      <c r="C29" s="491" t="str">
        <f aca="true">IF(Build!AD641,OFFSET(Spells!AF$2,Build!AD641,0),"")</f>
        <v/>
      </c>
      <c r="D29" s="491"/>
      <c r="E29" s="491"/>
      <c r="F29" s="491"/>
      <c r="G29" s="491"/>
      <c r="H29" s="491"/>
      <c r="I29" s="491"/>
      <c r="J29" s="491"/>
      <c r="K29" s="491"/>
      <c r="L29" s="492" t="str">
        <f aca="true">IF(Build!AD641,OFFSET(Spells!AG$2,Build!AD641,0),"")</f>
        <v/>
      </c>
      <c r="M29" s="492"/>
      <c r="N29" s="492" t="str">
        <f aca="true">IF(Build!AD641,OFFSET(Spells!AH$2,Build!AD641,0),"")</f>
        <v/>
      </c>
      <c r="O29" s="492"/>
      <c r="P29" s="492" t="str">
        <f aca="true">IF(Build!AD641,OFFSET(Spells!AI$2,Build!AD641,0),"")</f>
        <v/>
      </c>
      <c r="Q29" s="492"/>
      <c r="R29" s="492" t="str">
        <f aca="true">IF(Build!AD641,OFFSET(Spells!AJ$2,Build!AD641,0),"")</f>
        <v/>
      </c>
      <c r="S29" s="492"/>
      <c r="T29" s="492" t="str">
        <f aca="true">IF(Build!AD641,OFFSET(Spells!AK$2,Build!AD641,0),"")</f>
        <v/>
      </c>
      <c r="U29" s="492"/>
      <c r="V29" s="492"/>
      <c r="W29" s="492" t="str">
        <f aca="true">IF(Build!AD641,OFFSET(Spells!AM$2,Build!AD641,0),"")</f>
        <v/>
      </c>
      <c r="X29" s="492"/>
      <c r="Y29" s="492"/>
      <c r="Z29" s="507" t="str">
        <f aca="false">Build!AJ641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IF(Build!AD641,OFFSET(Spells!AN$2,Build!AD641,0),"")</f>
        <v/>
      </c>
      <c r="AL29" s="508"/>
      <c r="AM29" s="508"/>
    </row>
    <row r="30" customFormat="false" ht="11.1" hidden="false" customHeight="true" outlineLevel="0" collapsed="false">
      <c r="A30" s="389"/>
      <c r="B30" s="389"/>
      <c r="C30" s="491" t="str">
        <f aca="true">IF(Build!AD642,OFFSET(Spells!AF$2,Build!AD642,0),"")</f>
        <v/>
      </c>
      <c r="D30" s="491"/>
      <c r="E30" s="491"/>
      <c r="F30" s="491"/>
      <c r="G30" s="491"/>
      <c r="H30" s="491"/>
      <c r="I30" s="491"/>
      <c r="J30" s="491"/>
      <c r="K30" s="491"/>
      <c r="L30" s="492" t="str">
        <f aca="true">IF(Build!AD642,OFFSET(Spells!AG$2,Build!AD642,0),"")</f>
        <v/>
      </c>
      <c r="M30" s="492"/>
      <c r="N30" s="492" t="str">
        <f aca="true">IF(Build!AD642,OFFSET(Spells!AH$2,Build!AD642,0),"")</f>
        <v/>
      </c>
      <c r="O30" s="492"/>
      <c r="P30" s="492" t="str">
        <f aca="true">IF(Build!AD642,OFFSET(Spells!AI$2,Build!AD642,0),"")</f>
        <v/>
      </c>
      <c r="Q30" s="492"/>
      <c r="R30" s="492" t="str">
        <f aca="true">IF(Build!AD642,OFFSET(Spells!AJ$2,Build!AD642,0),"")</f>
        <v/>
      </c>
      <c r="S30" s="492"/>
      <c r="T30" s="492" t="str">
        <f aca="true">IF(Build!AD642,OFFSET(Spells!AK$2,Build!AD642,0),"")</f>
        <v/>
      </c>
      <c r="U30" s="492"/>
      <c r="V30" s="492"/>
      <c r="W30" s="492" t="str">
        <f aca="true">IF(Build!AD642,OFFSET(Spells!AM$2,Build!AD642,0),"")</f>
        <v/>
      </c>
      <c r="X30" s="492"/>
      <c r="Y30" s="492"/>
      <c r="Z30" s="507" t="str">
        <f aca="false">Build!AJ642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IF(Build!AD642,OFFSET(Spells!AN$2,Build!AD642,0),"")</f>
        <v/>
      </c>
      <c r="AL30" s="508"/>
      <c r="AM30" s="508"/>
    </row>
    <row r="31" customFormat="false" ht="11.1" hidden="false" customHeight="true" outlineLevel="0" collapsed="false">
      <c r="A31" s="389"/>
      <c r="B31" s="389"/>
      <c r="C31" s="491" t="str">
        <f aca="true">IF(Build!AD643,OFFSET(Spells!AF$2,Build!AD643,0),"")</f>
        <v/>
      </c>
      <c r="D31" s="491"/>
      <c r="E31" s="491"/>
      <c r="F31" s="491"/>
      <c r="G31" s="491"/>
      <c r="H31" s="491"/>
      <c r="I31" s="491"/>
      <c r="J31" s="491"/>
      <c r="K31" s="491"/>
      <c r="L31" s="492" t="str">
        <f aca="true">IF(Build!AD643,OFFSET(Spells!AG$2,Build!AD643,0),"")</f>
        <v/>
      </c>
      <c r="M31" s="492"/>
      <c r="N31" s="492" t="str">
        <f aca="true">IF(Build!AD643,OFFSET(Spells!AH$2,Build!AD643,0),"")</f>
        <v/>
      </c>
      <c r="O31" s="492"/>
      <c r="P31" s="492" t="str">
        <f aca="true">IF(Build!AD643,OFFSET(Spells!AI$2,Build!AD643,0),"")</f>
        <v/>
      </c>
      <c r="Q31" s="492"/>
      <c r="R31" s="492" t="str">
        <f aca="true">IF(Build!AD643,OFFSET(Spells!AJ$2,Build!AD643,0),"")</f>
        <v/>
      </c>
      <c r="S31" s="492"/>
      <c r="T31" s="492" t="str">
        <f aca="true">IF(Build!AD643,OFFSET(Spells!AK$2,Build!AD643,0),"")</f>
        <v/>
      </c>
      <c r="U31" s="492"/>
      <c r="V31" s="492"/>
      <c r="W31" s="492" t="str">
        <f aca="true">IF(Build!AD643,OFFSET(Spells!AM$2,Build!AD643,0),"")</f>
        <v/>
      </c>
      <c r="X31" s="492"/>
      <c r="Y31" s="492"/>
      <c r="Z31" s="507" t="str">
        <f aca="false">Build!AJ643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IF(Build!AD643,OFFSET(Spells!AN$2,Build!AD643,0),"")</f>
        <v/>
      </c>
      <c r="AL31" s="508"/>
      <c r="AM31" s="508"/>
    </row>
    <row r="32" customFormat="false" ht="11.1" hidden="false" customHeight="true" outlineLevel="0" collapsed="false">
      <c r="A32" s="389"/>
      <c r="B32" s="389"/>
      <c r="C32" s="491" t="str">
        <f aca="true">IF(Build!AD644,OFFSET(Spells!AF$2,Build!AD644,0),"")</f>
        <v/>
      </c>
      <c r="D32" s="491"/>
      <c r="E32" s="491"/>
      <c r="F32" s="491"/>
      <c r="G32" s="491"/>
      <c r="H32" s="491"/>
      <c r="I32" s="491"/>
      <c r="J32" s="491"/>
      <c r="K32" s="491"/>
      <c r="L32" s="492" t="str">
        <f aca="true">IF(Build!AD644,OFFSET(Spells!AG$2,Build!AD644,0),"")</f>
        <v/>
      </c>
      <c r="M32" s="492"/>
      <c r="N32" s="492" t="str">
        <f aca="true">IF(Build!AD644,OFFSET(Spells!AH$2,Build!AD644,0),"")</f>
        <v/>
      </c>
      <c r="O32" s="492"/>
      <c r="P32" s="492" t="str">
        <f aca="true">IF(Build!AD644,OFFSET(Spells!AI$2,Build!AD644,0),"")</f>
        <v/>
      </c>
      <c r="Q32" s="492"/>
      <c r="R32" s="492" t="str">
        <f aca="true">IF(Build!AD644,OFFSET(Spells!AJ$2,Build!AD644,0),"")</f>
        <v/>
      </c>
      <c r="S32" s="492"/>
      <c r="T32" s="492" t="str">
        <f aca="true">IF(Build!AD644,OFFSET(Spells!AK$2,Build!AD644,0),"")</f>
        <v/>
      </c>
      <c r="U32" s="492"/>
      <c r="V32" s="492"/>
      <c r="W32" s="492" t="str">
        <f aca="true">IF(Build!AD644,OFFSET(Spells!AM$2,Build!AD644,0),"")</f>
        <v/>
      </c>
      <c r="X32" s="492"/>
      <c r="Y32" s="492"/>
      <c r="Z32" s="507" t="str">
        <f aca="false">Build!AJ644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IF(Build!AD644,OFFSET(Spells!AN$2,Build!AD644,0),"")</f>
        <v/>
      </c>
      <c r="AL32" s="508"/>
      <c r="AM32" s="508"/>
    </row>
    <row r="33" customFormat="false" ht="11.1" hidden="false" customHeight="true" outlineLevel="0" collapsed="false">
      <c r="A33" s="389"/>
      <c r="B33" s="389"/>
      <c r="C33" s="491" t="str">
        <f aca="true">IF(Build!AD645,OFFSET(Spells!AF$2,Build!AD645,0),"")</f>
        <v/>
      </c>
      <c r="D33" s="491"/>
      <c r="E33" s="491"/>
      <c r="F33" s="491"/>
      <c r="G33" s="491"/>
      <c r="H33" s="491"/>
      <c r="I33" s="491"/>
      <c r="J33" s="491"/>
      <c r="K33" s="491"/>
      <c r="L33" s="492" t="str">
        <f aca="true">IF(Build!AD645,OFFSET(Spells!AG$2,Build!AD645,0),"")</f>
        <v/>
      </c>
      <c r="M33" s="492"/>
      <c r="N33" s="492" t="str">
        <f aca="true">IF(Build!AD645,OFFSET(Spells!AH$2,Build!AD645,0),"")</f>
        <v/>
      </c>
      <c r="O33" s="492"/>
      <c r="P33" s="492" t="str">
        <f aca="true">IF(Build!AD645,OFFSET(Spells!AI$2,Build!AD645,0),"")</f>
        <v/>
      </c>
      <c r="Q33" s="492"/>
      <c r="R33" s="492" t="str">
        <f aca="true">IF(Build!AD645,OFFSET(Spells!AJ$2,Build!AD645,0),"")</f>
        <v/>
      </c>
      <c r="S33" s="492"/>
      <c r="T33" s="492" t="str">
        <f aca="true">IF(Build!AD645,OFFSET(Spells!AK$2,Build!AD645,0),"")</f>
        <v/>
      </c>
      <c r="U33" s="492"/>
      <c r="V33" s="492"/>
      <c r="W33" s="492" t="str">
        <f aca="true">IF(Build!AD645,OFFSET(Spells!AM$2,Build!AD645,0),"")</f>
        <v/>
      </c>
      <c r="X33" s="492"/>
      <c r="Y33" s="492"/>
      <c r="Z33" s="507" t="str">
        <f aca="false">Build!AJ645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IF(Build!AD645,OFFSET(Spells!AN$2,Build!AD645,0),"")</f>
        <v/>
      </c>
      <c r="AL33" s="508"/>
      <c r="AM33" s="508"/>
    </row>
    <row r="34" customFormat="false" ht="11.1" hidden="false" customHeight="true" outlineLevel="0" collapsed="false">
      <c r="A34" s="389"/>
      <c r="B34" s="389"/>
      <c r="C34" s="491" t="str">
        <f aca="true">IF(Build!AD646,OFFSET(Spells!AF$2,Build!AD646,0),"")</f>
        <v/>
      </c>
      <c r="D34" s="491"/>
      <c r="E34" s="491"/>
      <c r="F34" s="491"/>
      <c r="G34" s="491"/>
      <c r="H34" s="491"/>
      <c r="I34" s="491"/>
      <c r="J34" s="491"/>
      <c r="K34" s="491"/>
      <c r="L34" s="492" t="str">
        <f aca="true">IF(Build!AD646,OFFSET(Spells!AG$2,Build!AD646,0),"")</f>
        <v/>
      </c>
      <c r="M34" s="492"/>
      <c r="N34" s="492" t="str">
        <f aca="true">IF(Build!AD646,OFFSET(Spells!AH$2,Build!AD646,0),"")</f>
        <v/>
      </c>
      <c r="O34" s="492"/>
      <c r="P34" s="492" t="str">
        <f aca="true">IF(Build!AD646,OFFSET(Spells!AI$2,Build!AD646,0),"")</f>
        <v/>
      </c>
      <c r="Q34" s="492"/>
      <c r="R34" s="492" t="str">
        <f aca="true">IF(Build!AD646,OFFSET(Spells!AJ$2,Build!AD646,0),"")</f>
        <v/>
      </c>
      <c r="S34" s="492"/>
      <c r="T34" s="492" t="str">
        <f aca="true">IF(Build!AD646,OFFSET(Spells!AK$2,Build!AD646,0),"")</f>
        <v/>
      </c>
      <c r="U34" s="492"/>
      <c r="V34" s="492"/>
      <c r="W34" s="492" t="str">
        <f aca="true">IF(Build!AD646,OFFSET(Spells!AM$2,Build!AD646,0),"")</f>
        <v/>
      </c>
      <c r="X34" s="492"/>
      <c r="Y34" s="492"/>
      <c r="Z34" s="507" t="str">
        <f aca="false">Build!AJ646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IF(Build!AD646,OFFSET(Spells!AN$2,Build!AD646,0),"")</f>
        <v/>
      </c>
      <c r="AL34" s="508"/>
      <c r="AM34" s="508"/>
    </row>
    <row r="35" customFormat="false" ht="11.1" hidden="false" customHeight="true" outlineLevel="0" collapsed="false">
      <c r="A35" s="389"/>
      <c r="B35" s="389"/>
      <c r="C35" s="491" t="str">
        <f aca="true">IF(Build!AD647,OFFSET(Spells!AF$2,Build!AD647,0),"")</f>
        <v/>
      </c>
      <c r="D35" s="491"/>
      <c r="E35" s="491"/>
      <c r="F35" s="491"/>
      <c r="G35" s="491"/>
      <c r="H35" s="491"/>
      <c r="I35" s="491"/>
      <c r="J35" s="491"/>
      <c r="K35" s="491"/>
      <c r="L35" s="492" t="str">
        <f aca="true">IF(Build!AD647,OFFSET(Spells!AG$2,Build!AD647,0),"")</f>
        <v/>
      </c>
      <c r="M35" s="492"/>
      <c r="N35" s="492" t="str">
        <f aca="true">IF(Build!AD647,OFFSET(Spells!AH$2,Build!AD647,0),"")</f>
        <v/>
      </c>
      <c r="O35" s="492"/>
      <c r="P35" s="492" t="str">
        <f aca="true">IF(Build!AD647,OFFSET(Spells!AI$2,Build!AD647,0),"")</f>
        <v/>
      </c>
      <c r="Q35" s="492"/>
      <c r="R35" s="492" t="str">
        <f aca="true">IF(Build!AD647,OFFSET(Spells!AJ$2,Build!AD647,0),"")</f>
        <v/>
      </c>
      <c r="S35" s="492"/>
      <c r="T35" s="492" t="str">
        <f aca="true">IF(Build!AD647,OFFSET(Spells!AK$2,Build!AD647,0),"")</f>
        <v/>
      </c>
      <c r="U35" s="492"/>
      <c r="V35" s="492"/>
      <c r="W35" s="492" t="str">
        <f aca="true">IF(Build!AD647,OFFSET(Spells!AM$2,Build!AD647,0),"")</f>
        <v/>
      </c>
      <c r="X35" s="492"/>
      <c r="Y35" s="492"/>
      <c r="Z35" s="507" t="str">
        <f aca="false">Build!AJ647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IF(Build!AD647,OFFSET(Spells!AN$2,Build!AD647,0),"")</f>
        <v/>
      </c>
      <c r="AL35" s="508"/>
      <c r="AM35" s="508"/>
    </row>
    <row r="36" customFormat="false" ht="11.1" hidden="false" customHeight="true" outlineLevel="0" collapsed="false">
      <c r="A36" s="389"/>
      <c r="B36" s="389"/>
      <c r="C36" s="491" t="str">
        <f aca="true">IF(Build!AD648,OFFSET(Spells!AF$2,Build!AD648,0),"")</f>
        <v/>
      </c>
      <c r="D36" s="491"/>
      <c r="E36" s="491"/>
      <c r="F36" s="491"/>
      <c r="G36" s="491"/>
      <c r="H36" s="491"/>
      <c r="I36" s="491"/>
      <c r="J36" s="491"/>
      <c r="K36" s="491"/>
      <c r="L36" s="492" t="str">
        <f aca="true">IF(Build!AD648,OFFSET(Spells!AG$2,Build!AD648,0),"")</f>
        <v/>
      </c>
      <c r="M36" s="492"/>
      <c r="N36" s="492" t="str">
        <f aca="true">IF(Build!AD648,OFFSET(Spells!AH$2,Build!AD648,0),"")</f>
        <v/>
      </c>
      <c r="O36" s="492"/>
      <c r="P36" s="492" t="str">
        <f aca="true">IF(Build!AD648,OFFSET(Spells!AI$2,Build!AD648,0),"")</f>
        <v/>
      </c>
      <c r="Q36" s="492"/>
      <c r="R36" s="492" t="str">
        <f aca="true">IF(Build!AD648,OFFSET(Spells!AJ$2,Build!AD648,0),"")</f>
        <v/>
      </c>
      <c r="S36" s="492"/>
      <c r="T36" s="492" t="str">
        <f aca="true">IF(Build!AD648,OFFSET(Spells!AK$2,Build!AD648,0),"")</f>
        <v/>
      </c>
      <c r="U36" s="492"/>
      <c r="V36" s="492"/>
      <c r="W36" s="492" t="str">
        <f aca="true">IF(Build!AD648,OFFSET(Spells!AM$2,Build!AD648,0),"")</f>
        <v/>
      </c>
      <c r="X36" s="492"/>
      <c r="Y36" s="492"/>
      <c r="Z36" s="507" t="str">
        <f aca="false">Build!AJ648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IF(Build!AD648,OFFSET(Spells!AN$2,Build!AD648,0),"")</f>
        <v/>
      </c>
      <c r="AL36" s="508"/>
      <c r="AM36" s="508"/>
    </row>
    <row r="37" customFormat="false" ht="11.1" hidden="false" customHeight="true" outlineLevel="0" collapsed="false">
      <c r="A37" s="389"/>
      <c r="B37" s="389"/>
      <c r="C37" s="491" t="str">
        <f aca="true">IF(Build!AD649,OFFSET(Spells!AF$2,Build!AD649,0),"")</f>
        <v/>
      </c>
      <c r="D37" s="491"/>
      <c r="E37" s="491"/>
      <c r="F37" s="491"/>
      <c r="G37" s="491"/>
      <c r="H37" s="491"/>
      <c r="I37" s="491"/>
      <c r="J37" s="491"/>
      <c r="K37" s="491"/>
      <c r="L37" s="492" t="str">
        <f aca="true">IF(Build!AD649,OFFSET(Spells!AG$2,Build!AD649,0),"")</f>
        <v/>
      </c>
      <c r="M37" s="492"/>
      <c r="N37" s="492" t="str">
        <f aca="true">IF(Build!AD649,OFFSET(Spells!AH$2,Build!AD649,0),"")</f>
        <v/>
      </c>
      <c r="O37" s="492"/>
      <c r="P37" s="492" t="str">
        <f aca="true">IF(Build!AD649,OFFSET(Spells!AI$2,Build!AD649,0),"")</f>
        <v/>
      </c>
      <c r="Q37" s="492"/>
      <c r="R37" s="492" t="str">
        <f aca="true">IF(Build!AD649,OFFSET(Spells!AJ$2,Build!AD649,0),"")</f>
        <v/>
      </c>
      <c r="S37" s="492"/>
      <c r="T37" s="492" t="str">
        <f aca="true">IF(Build!AD649,OFFSET(Spells!AK$2,Build!AD649,0),"")</f>
        <v/>
      </c>
      <c r="U37" s="492"/>
      <c r="V37" s="492"/>
      <c r="W37" s="492" t="str">
        <f aca="true">IF(Build!AD649,OFFSET(Spells!AM$2,Build!AD649,0),"")</f>
        <v/>
      </c>
      <c r="X37" s="492"/>
      <c r="Y37" s="492"/>
      <c r="Z37" s="507" t="str">
        <f aca="false">Build!AJ649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IF(Build!AD649,OFFSET(Spells!AN$2,Build!AD649,0),"")</f>
        <v/>
      </c>
      <c r="AL37" s="508"/>
      <c r="AM37" s="508"/>
    </row>
    <row r="38" customFormat="false" ht="11.1" hidden="false" customHeight="true" outlineLevel="0" collapsed="false">
      <c r="A38" s="389"/>
      <c r="B38" s="389"/>
      <c r="C38" s="491" t="str">
        <f aca="true">IF(Build!AD650,OFFSET(Spells!AF$2,Build!AD650,0),"")</f>
        <v/>
      </c>
      <c r="D38" s="491"/>
      <c r="E38" s="491"/>
      <c r="F38" s="491"/>
      <c r="G38" s="491"/>
      <c r="H38" s="491"/>
      <c r="I38" s="491"/>
      <c r="J38" s="491"/>
      <c r="K38" s="491"/>
      <c r="L38" s="492" t="str">
        <f aca="true">IF(Build!AD650,OFFSET(Spells!AG$2,Build!AD650,0),"")</f>
        <v/>
      </c>
      <c r="M38" s="492"/>
      <c r="N38" s="492" t="str">
        <f aca="true">IF(Build!AD650,OFFSET(Spells!AH$2,Build!AD650,0),"")</f>
        <v/>
      </c>
      <c r="O38" s="492"/>
      <c r="P38" s="492" t="str">
        <f aca="true">IF(Build!AD650,OFFSET(Spells!AI$2,Build!AD650,0),"")</f>
        <v/>
      </c>
      <c r="Q38" s="492"/>
      <c r="R38" s="492" t="str">
        <f aca="true">IF(Build!AD650,OFFSET(Spells!AJ$2,Build!AD650,0),"")</f>
        <v/>
      </c>
      <c r="S38" s="492"/>
      <c r="T38" s="492" t="str">
        <f aca="true">IF(Build!AD650,OFFSET(Spells!AK$2,Build!AD650,0),"")</f>
        <v/>
      </c>
      <c r="U38" s="492"/>
      <c r="V38" s="492"/>
      <c r="W38" s="492" t="str">
        <f aca="true">IF(Build!AD650,OFFSET(Spells!AM$2,Build!AD650,0),"")</f>
        <v/>
      </c>
      <c r="X38" s="492"/>
      <c r="Y38" s="492"/>
      <c r="Z38" s="507" t="str">
        <f aca="false">Build!AJ650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IF(Build!AD650,OFFSET(Spells!AN$2,Build!AD650,0),"")</f>
        <v/>
      </c>
      <c r="AL38" s="508"/>
      <c r="AM38" s="508"/>
    </row>
    <row r="39" customFormat="false" ht="11.1" hidden="false" customHeight="true" outlineLevel="0" collapsed="false">
      <c r="A39" s="389"/>
      <c r="B39" s="389"/>
      <c r="C39" s="491" t="str">
        <f aca="true">IF(Build!AD651,OFFSET(Spells!AF$2,Build!AD651,0),"")</f>
        <v/>
      </c>
      <c r="D39" s="491"/>
      <c r="E39" s="491"/>
      <c r="F39" s="491"/>
      <c r="G39" s="491"/>
      <c r="H39" s="491"/>
      <c r="I39" s="491"/>
      <c r="J39" s="491"/>
      <c r="K39" s="491"/>
      <c r="L39" s="492" t="str">
        <f aca="true">IF(Build!AD651,OFFSET(Spells!AG$2,Build!AD651,0),"")</f>
        <v/>
      </c>
      <c r="M39" s="492"/>
      <c r="N39" s="492" t="str">
        <f aca="true">IF(Build!AD651,OFFSET(Spells!AH$2,Build!AD651,0),"")</f>
        <v/>
      </c>
      <c r="O39" s="492"/>
      <c r="P39" s="492" t="str">
        <f aca="true">IF(Build!AD651,OFFSET(Spells!AI$2,Build!AD651,0),"")</f>
        <v/>
      </c>
      <c r="Q39" s="492"/>
      <c r="R39" s="492" t="str">
        <f aca="true">IF(Build!AD651,OFFSET(Spells!AJ$2,Build!AD651,0),"")</f>
        <v/>
      </c>
      <c r="S39" s="492"/>
      <c r="T39" s="492" t="str">
        <f aca="true">IF(Build!AD651,OFFSET(Spells!AK$2,Build!AD651,0),"")</f>
        <v/>
      </c>
      <c r="U39" s="492"/>
      <c r="V39" s="492"/>
      <c r="W39" s="492" t="str">
        <f aca="true">IF(Build!AD651,OFFSET(Spells!AM$2,Build!AD651,0),"")</f>
        <v/>
      </c>
      <c r="X39" s="492"/>
      <c r="Y39" s="492"/>
      <c r="Z39" s="507" t="str">
        <f aca="false">Build!AJ651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IF(Build!AD651,OFFSET(Spells!AN$2,Build!AD651,0),"")</f>
        <v/>
      </c>
      <c r="AL39" s="508"/>
      <c r="AM39" s="508"/>
    </row>
    <row r="40" customFormat="false" ht="11.1" hidden="false" customHeight="true" outlineLevel="0" collapsed="false">
      <c r="A40" s="389"/>
      <c r="B40" s="389"/>
      <c r="C40" s="491" t="str">
        <f aca="true">IF(Build!AD652,OFFSET(Spells!AF$2,Build!AD652,0),"")</f>
        <v/>
      </c>
      <c r="D40" s="491"/>
      <c r="E40" s="491"/>
      <c r="F40" s="491"/>
      <c r="G40" s="491"/>
      <c r="H40" s="491"/>
      <c r="I40" s="491"/>
      <c r="J40" s="491"/>
      <c r="K40" s="491"/>
      <c r="L40" s="492" t="str">
        <f aca="true">IF(Build!AD652,OFFSET(Spells!AG$2,Build!AD652,0),"")</f>
        <v/>
      </c>
      <c r="M40" s="492"/>
      <c r="N40" s="492" t="str">
        <f aca="true">IF(Build!AD652,OFFSET(Spells!AH$2,Build!AD652,0),"")</f>
        <v/>
      </c>
      <c r="O40" s="492"/>
      <c r="P40" s="492" t="str">
        <f aca="true">IF(Build!AD652,OFFSET(Spells!AI$2,Build!AD652,0),"")</f>
        <v/>
      </c>
      <c r="Q40" s="492"/>
      <c r="R40" s="492" t="str">
        <f aca="true">IF(Build!AD652,OFFSET(Spells!AJ$2,Build!AD652,0),"")</f>
        <v/>
      </c>
      <c r="S40" s="492"/>
      <c r="T40" s="492" t="str">
        <f aca="true">IF(Build!AD652,OFFSET(Spells!AK$2,Build!AD652,0),"")</f>
        <v/>
      </c>
      <c r="U40" s="492"/>
      <c r="V40" s="492"/>
      <c r="W40" s="492" t="str">
        <f aca="true">IF(Build!AD652,OFFSET(Spells!AM$2,Build!AD652,0),"")</f>
        <v/>
      </c>
      <c r="X40" s="492"/>
      <c r="Y40" s="492"/>
      <c r="Z40" s="507" t="str">
        <f aca="false">Build!AJ652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IF(Build!AD652,OFFSET(Spells!AN$2,Build!AD652,0),"")</f>
        <v/>
      </c>
      <c r="AL40" s="508"/>
      <c r="AM40" s="508"/>
    </row>
    <row r="41" customFormat="false" ht="11.1" hidden="false" customHeight="true" outlineLevel="0" collapsed="false">
      <c r="A41" s="389"/>
      <c r="B41" s="389"/>
      <c r="C41" s="491" t="str">
        <f aca="true">IF(Build!AD653,OFFSET(Spells!AF$2,Build!AD653,0),"")</f>
        <v/>
      </c>
      <c r="D41" s="491"/>
      <c r="E41" s="491"/>
      <c r="F41" s="491"/>
      <c r="G41" s="491"/>
      <c r="H41" s="491"/>
      <c r="I41" s="491"/>
      <c r="J41" s="491"/>
      <c r="K41" s="491"/>
      <c r="L41" s="492" t="str">
        <f aca="true">IF(Build!AD653,OFFSET(Spells!AG$2,Build!AD653,0),"")</f>
        <v/>
      </c>
      <c r="M41" s="492"/>
      <c r="N41" s="492" t="str">
        <f aca="true">IF(Build!AD653,OFFSET(Spells!AH$2,Build!AD653,0),"")</f>
        <v/>
      </c>
      <c r="O41" s="492"/>
      <c r="P41" s="492" t="str">
        <f aca="true">IF(Build!AD653,OFFSET(Spells!AI$2,Build!AD653,0),"")</f>
        <v/>
      </c>
      <c r="Q41" s="492"/>
      <c r="R41" s="492" t="str">
        <f aca="true">IF(Build!AD653,OFFSET(Spells!AJ$2,Build!AD653,0),"")</f>
        <v/>
      </c>
      <c r="S41" s="492"/>
      <c r="T41" s="492" t="str">
        <f aca="true">IF(Build!AD653,OFFSET(Spells!AK$2,Build!AD653,0),"")</f>
        <v/>
      </c>
      <c r="U41" s="492"/>
      <c r="V41" s="492"/>
      <c r="W41" s="492" t="str">
        <f aca="true">IF(Build!AD653,OFFSET(Spells!AM$2,Build!AD653,0),"")</f>
        <v/>
      </c>
      <c r="X41" s="492"/>
      <c r="Y41" s="492"/>
      <c r="Z41" s="507" t="str">
        <f aca="false">Build!AJ653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IF(Build!AD653,OFFSET(Spells!AN$2,Build!AD653,0),"")</f>
        <v/>
      </c>
      <c r="AL41" s="508"/>
      <c r="AM41" s="508"/>
    </row>
    <row r="42" customFormat="false" ht="11.1" hidden="false" customHeight="true" outlineLevel="0" collapsed="false">
      <c r="A42" s="389"/>
      <c r="B42" s="389"/>
      <c r="C42" s="491" t="str">
        <f aca="true">IF(Build!AD654,OFFSET(Spells!AF$2,Build!AD654,0),"")</f>
        <v/>
      </c>
      <c r="D42" s="491"/>
      <c r="E42" s="491"/>
      <c r="F42" s="491"/>
      <c r="G42" s="491"/>
      <c r="H42" s="491"/>
      <c r="I42" s="491"/>
      <c r="J42" s="491"/>
      <c r="K42" s="491"/>
      <c r="L42" s="492" t="str">
        <f aca="true">IF(Build!AD654,OFFSET(Spells!AG$2,Build!AD654,0),"")</f>
        <v/>
      </c>
      <c r="M42" s="492"/>
      <c r="N42" s="492" t="str">
        <f aca="true">IF(Build!AD654,OFFSET(Spells!AH$2,Build!AD654,0),"")</f>
        <v/>
      </c>
      <c r="O42" s="492"/>
      <c r="P42" s="492" t="str">
        <f aca="true">IF(Build!AD654,OFFSET(Spells!AI$2,Build!AD654,0),"")</f>
        <v/>
      </c>
      <c r="Q42" s="492"/>
      <c r="R42" s="492" t="str">
        <f aca="true">IF(Build!AD654,OFFSET(Spells!AJ$2,Build!AD654,0),"")</f>
        <v/>
      </c>
      <c r="S42" s="492"/>
      <c r="T42" s="492" t="str">
        <f aca="true">IF(Build!AD654,OFFSET(Spells!AK$2,Build!AD654,0),"")</f>
        <v/>
      </c>
      <c r="U42" s="492"/>
      <c r="V42" s="492"/>
      <c r="W42" s="492" t="str">
        <f aca="true">IF(Build!AD654,OFFSET(Spells!AM$2,Build!AD654,0),"")</f>
        <v/>
      </c>
      <c r="X42" s="492"/>
      <c r="Y42" s="492"/>
      <c r="Z42" s="507" t="str">
        <f aca="false">Build!AJ654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IF(Build!AD654,OFFSET(Spells!AN$2,Build!AD654,0),"")</f>
        <v/>
      </c>
      <c r="AL42" s="508"/>
      <c r="AM42" s="508"/>
    </row>
    <row r="43" customFormat="false" ht="11.1" hidden="false" customHeight="true" outlineLevel="0" collapsed="false">
      <c r="A43" s="389"/>
      <c r="B43" s="389"/>
      <c r="C43" s="491" t="str">
        <f aca="true">IF(Build!AD655,OFFSET(Spells!AF$2,Build!AD655,0),"")</f>
        <v/>
      </c>
      <c r="D43" s="491"/>
      <c r="E43" s="491"/>
      <c r="F43" s="491"/>
      <c r="G43" s="491"/>
      <c r="H43" s="491"/>
      <c r="I43" s="491"/>
      <c r="J43" s="491"/>
      <c r="K43" s="491"/>
      <c r="L43" s="492" t="str">
        <f aca="true">IF(Build!AD655,OFFSET(Spells!AG$2,Build!AD655,0),"")</f>
        <v/>
      </c>
      <c r="M43" s="492"/>
      <c r="N43" s="492" t="str">
        <f aca="true">IF(Build!AD655,OFFSET(Spells!AH$2,Build!AD655,0),"")</f>
        <v/>
      </c>
      <c r="O43" s="492"/>
      <c r="P43" s="492" t="str">
        <f aca="true">IF(Build!AD655,OFFSET(Spells!AI$2,Build!AD655,0),"")</f>
        <v/>
      </c>
      <c r="Q43" s="492"/>
      <c r="R43" s="492" t="str">
        <f aca="true">IF(Build!AD655,OFFSET(Spells!AJ$2,Build!AD655,0),"")</f>
        <v/>
      </c>
      <c r="S43" s="492"/>
      <c r="T43" s="492" t="str">
        <f aca="true">IF(Build!AD655,OFFSET(Spells!AK$2,Build!AD655,0),"")</f>
        <v/>
      </c>
      <c r="U43" s="492"/>
      <c r="V43" s="492"/>
      <c r="W43" s="492" t="str">
        <f aca="true">IF(Build!AD655,OFFSET(Spells!AM$2,Build!AD655,0),"")</f>
        <v/>
      </c>
      <c r="X43" s="492"/>
      <c r="Y43" s="492"/>
      <c r="Z43" s="507" t="str">
        <f aca="false">Build!AJ655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IF(Build!AD655,OFFSET(Spells!AN$2,Build!AD655,0),"")</f>
        <v/>
      </c>
      <c r="AL43" s="508"/>
      <c r="AM43" s="508"/>
    </row>
    <row r="44" customFormat="false" ht="11.1" hidden="false" customHeight="true" outlineLevel="0" collapsed="false">
      <c r="A44" s="389"/>
      <c r="B44" s="389"/>
      <c r="C44" s="491" t="str">
        <f aca="true">IF(Build!AD656,OFFSET(Spells!AF$2,Build!AD656,0),"")</f>
        <v/>
      </c>
      <c r="D44" s="491"/>
      <c r="E44" s="491"/>
      <c r="F44" s="491"/>
      <c r="G44" s="491"/>
      <c r="H44" s="491"/>
      <c r="I44" s="491"/>
      <c r="J44" s="491"/>
      <c r="K44" s="491"/>
      <c r="L44" s="492" t="str">
        <f aca="true">IF(Build!AD656,OFFSET(Spells!AG$2,Build!AD656,0),"")</f>
        <v/>
      </c>
      <c r="M44" s="492"/>
      <c r="N44" s="492" t="str">
        <f aca="true">IF(Build!AD656,OFFSET(Spells!AH$2,Build!AD656,0),"")</f>
        <v/>
      </c>
      <c r="O44" s="492"/>
      <c r="P44" s="492" t="str">
        <f aca="true">IF(Build!AD656,OFFSET(Spells!AI$2,Build!AD656,0),"")</f>
        <v/>
      </c>
      <c r="Q44" s="492"/>
      <c r="R44" s="492" t="str">
        <f aca="true">IF(Build!AD656,OFFSET(Spells!AJ$2,Build!AD656,0),"")</f>
        <v/>
      </c>
      <c r="S44" s="492"/>
      <c r="T44" s="492" t="str">
        <f aca="true">IF(Build!AD656,OFFSET(Spells!AK$2,Build!AD656,0),"")</f>
        <v/>
      </c>
      <c r="U44" s="492"/>
      <c r="V44" s="492"/>
      <c r="W44" s="492" t="str">
        <f aca="true">IF(Build!AD656,OFFSET(Spells!AM$2,Build!AD656,0),"")</f>
        <v/>
      </c>
      <c r="X44" s="492"/>
      <c r="Y44" s="492"/>
      <c r="Z44" s="507" t="str">
        <f aca="false">Build!AJ656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IF(Build!AD656,OFFSET(Spells!AN$2,Build!AD656,0),"")</f>
        <v/>
      </c>
      <c r="AL44" s="508"/>
      <c r="AM44" s="508"/>
    </row>
    <row r="45" customFormat="false" ht="11.1" hidden="false" customHeight="true" outlineLevel="0" collapsed="false">
      <c r="A45" s="389"/>
      <c r="B45" s="389"/>
      <c r="C45" s="491" t="str">
        <f aca="true">IF(Build!AD657,OFFSET(Spells!AF$2,Build!AD657,0),"")</f>
        <v/>
      </c>
      <c r="D45" s="491"/>
      <c r="E45" s="491"/>
      <c r="F45" s="491"/>
      <c r="G45" s="491"/>
      <c r="H45" s="491"/>
      <c r="I45" s="491"/>
      <c r="J45" s="491"/>
      <c r="K45" s="491"/>
      <c r="L45" s="492" t="str">
        <f aca="true">IF(Build!AD657,OFFSET(Spells!AG$2,Build!AD657,0),"")</f>
        <v/>
      </c>
      <c r="M45" s="492"/>
      <c r="N45" s="492" t="str">
        <f aca="true">IF(Build!AD657,OFFSET(Spells!AH$2,Build!AD657,0),"")</f>
        <v/>
      </c>
      <c r="O45" s="492"/>
      <c r="P45" s="492" t="str">
        <f aca="true">IF(Build!AD657,OFFSET(Spells!AI$2,Build!AD657,0),"")</f>
        <v/>
      </c>
      <c r="Q45" s="492"/>
      <c r="R45" s="492" t="str">
        <f aca="true">IF(Build!AD657,OFFSET(Spells!AJ$2,Build!AD657,0),"")</f>
        <v/>
      </c>
      <c r="S45" s="492"/>
      <c r="T45" s="492" t="str">
        <f aca="true">IF(Build!AD657,OFFSET(Spells!AK$2,Build!AD657,0),"")</f>
        <v/>
      </c>
      <c r="U45" s="492"/>
      <c r="V45" s="492"/>
      <c r="W45" s="492" t="str">
        <f aca="true">IF(Build!AD657,OFFSET(Spells!AM$2,Build!AD657,0),"")</f>
        <v/>
      </c>
      <c r="X45" s="492"/>
      <c r="Y45" s="492"/>
      <c r="Z45" s="507" t="str">
        <f aca="false">Build!AJ657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IF(Build!AD657,OFFSET(Spells!AN$2,Build!AD657,0),"")</f>
        <v/>
      </c>
      <c r="AL45" s="508"/>
      <c r="AM45" s="508"/>
    </row>
    <row r="46" customFormat="false" ht="11.1" hidden="false" customHeight="true" outlineLevel="0" collapsed="false">
      <c r="A46" s="389"/>
      <c r="B46" s="389"/>
      <c r="C46" s="491" t="str">
        <f aca="true">IF(Build!AD658,OFFSET(Spells!AF$2,Build!AD658,0),"")</f>
        <v/>
      </c>
      <c r="D46" s="491"/>
      <c r="E46" s="491"/>
      <c r="F46" s="491"/>
      <c r="G46" s="491"/>
      <c r="H46" s="491"/>
      <c r="I46" s="491"/>
      <c r="J46" s="491"/>
      <c r="K46" s="491"/>
      <c r="L46" s="492" t="str">
        <f aca="true">IF(Build!AD658,OFFSET(Spells!AG$2,Build!AD658,0),"")</f>
        <v/>
      </c>
      <c r="M46" s="492"/>
      <c r="N46" s="492" t="str">
        <f aca="true">IF(Build!AD658,OFFSET(Spells!AH$2,Build!AD658,0),"")</f>
        <v/>
      </c>
      <c r="O46" s="492"/>
      <c r="P46" s="492" t="str">
        <f aca="true">IF(Build!AD658,OFFSET(Spells!AI$2,Build!AD658,0),"")</f>
        <v/>
      </c>
      <c r="Q46" s="492"/>
      <c r="R46" s="492" t="str">
        <f aca="true">IF(Build!AD658,OFFSET(Spells!AJ$2,Build!AD658,0),"")</f>
        <v/>
      </c>
      <c r="S46" s="492"/>
      <c r="T46" s="492" t="str">
        <f aca="true">IF(Build!AD658,OFFSET(Spells!AK$2,Build!AD658,0),"")</f>
        <v/>
      </c>
      <c r="U46" s="492"/>
      <c r="V46" s="492"/>
      <c r="W46" s="492" t="str">
        <f aca="true">IF(Build!AD658,OFFSET(Spells!AM$2,Build!AD658,0),"")</f>
        <v/>
      </c>
      <c r="X46" s="492"/>
      <c r="Y46" s="492"/>
      <c r="Z46" s="507" t="str">
        <f aca="false">Build!AJ658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IF(Build!AD658,OFFSET(Spells!AN$2,Build!AD658,0),"")</f>
        <v/>
      </c>
      <c r="AL46" s="508"/>
      <c r="AM46" s="508"/>
    </row>
    <row r="47" customFormat="false" ht="11.1" hidden="false" customHeight="true" outlineLevel="0" collapsed="false">
      <c r="A47" s="389"/>
      <c r="B47" s="389"/>
      <c r="C47" s="491" t="str">
        <f aca="true">IF(Build!AD659,OFFSET(Spells!AF$2,Build!AD659,0),"")</f>
        <v/>
      </c>
      <c r="D47" s="491"/>
      <c r="E47" s="491"/>
      <c r="F47" s="491"/>
      <c r="G47" s="491"/>
      <c r="H47" s="491"/>
      <c r="I47" s="491"/>
      <c r="J47" s="491"/>
      <c r="K47" s="491"/>
      <c r="L47" s="492" t="str">
        <f aca="true">IF(Build!AD659,OFFSET(Spells!AG$2,Build!AD659,0),"")</f>
        <v/>
      </c>
      <c r="M47" s="492"/>
      <c r="N47" s="492" t="str">
        <f aca="true">IF(Build!AD659,OFFSET(Spells!AH$2,Build!AD659,0),"")</f>
        <v/>
      </c>
      <c r="O47" s="492"/>
      <c r="P47" s="492" t="str">
        <f aca="true">IF(Build!AD659,OFFSET(Spells!AI$2,Build!AD659,0),"")</f>
        <v/>
      </c>
      <c r="Q47" s="492"/>
      <c r="R47" s="492" t="str">
        <f aca="true">IF(Build!AD659,OFFSET(Spells!AJ$2,Build!AD659,0),"")</f>
        <v/>
      </c>
      <c r="S47" s="492"/>
      <c r="T47" s="492" t="str">
        <f aca="true">IF(Build!AD659,OFFSET(Spells!AK$2,Build!AD659,0),"")</f>
        <v/>
      </c>
      <c r="U47" s="492"/>
      <c r="V47" s="492"/>
      <c r="W47" s="492" t="str">
        <f aca="true">IF(Build!AD659,OFFSET(Spells!AM$2,Build!AD659,0),"")</f>
        <v/>
      </c>
      <c r="X47" s="492"/>
      <c r="Y47" s="492"/>
      <c r="Z47" s="507" t="str">
        <f aca="false">Build!AJ659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IF(Build!AD659,OFFSET(Spells!AN$2,Build!AD659,0),"")</f>
        <v/>
      </c>
      <c r="AL47" s="508"/>
      <c r="AM47" s="508"/>
    </row>
    <row r="48" customFormat="false" ht="11.1" hidden="false" customHeight="true" outlineLevel="0" collapsed="false">
      <c r="A48" s="389"/>
      <c r="B48" s="389"/>
      <c r="C48" s="491" t="str">
        <f aca="true">IF(Build!AD660,OFFSET(Spells!AF$2,Build!AD660,0),"")</f>
        <v/>
      </c>
      <c r="D48" s="491"/>
      <c r="E48" s="491"/>
      <c r="F48" s="491"/>
      <c r="G48" s="491"/>
      <c r="H48" s="491"/>
      <c r="I48" s="491"/>
      <c r="J48" s="491"/>
      <c r="K48" s="491"/>
      <c r="L48" s="492" t="str">
        <f aca="true">IF(Build!AD660,OFFSET(Spells!AG$2,Build!AD660,0),"")</f>
        <v/>
      </c>
      <c r="M48" s="492"/>
      <c r="N48" s="492" t="str">
        <f aca="true">IF(Build!AD660,OFFSET(Spells!AH$2,Build!AD660,0),"")</f>
        <v/>
      </c>
      <c r="O48" s="492"/>
      <c r="P48" s="492" t="str">
        <f aca="true">IF(Build!AD660,OFFSET(Spells!AI$2,Build!AD660,0),"")</f>
        <v/>
      </c>
      <c r="Q48" s="492"/>
      <c r="R48" s="492" t="str">
        <f aca="true">IF(Build!AD660,OFFSET(Spells!AJ$2,Build!AD660,0),"")</f>
        <v/>
      </c>
      <c r="S48" s="492"/>
      <c r="T48" s="492" t="str">
        <f aca="true">IF(Build!AD660,OFFSET(Spells!AK$2,Build!AD660,0),"")</f>
        <v/>
      </c>
      <c r="U48" s="492"/>
      <c r="V48" s="492"/>
      <c r="W48" s="492" t="str">
        <f aca="true">IF(Build!AD660,OFFSET(Spells!AM$2,Build!AD660,0),"")</f>
        <v/>
      </c>
      <c r="X48" s="492"/>
      <c r="Y48" s="492"/>
      <c r="Z48" s="507" t="str">
        <f aca="false">Build!AJ660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IF(Build!AD660,OFFSET(Spells!AN$2,Build!AD660,0),"")</f>
        <v/>
      </c>
      <c r="AL48" s="508"/>
      <c r="AM48" s="508"/>
    </row>
    <row r="49" customFormat="false" ht="11.1" hidden="false" customHeight="true" outlineLevel="0" collapsed="false">
      <c r="A49" s="389"/>
      <c r="B49" s="389"/>
      <c r="C49" s="491" t="str">
        <f aca="true">IF(Build!AD661,OFFSET(Spells!AF$2,Build!AD661,0),"")</f>
        <v/>
      </c>
      <c r="D49" s="491"/>
      <c r="E49" s="491"/>
      <c r="F49" s="491"/>
      <c r="G49" s="491"/>
      <c r="H49" s="491"/>
      <c r="I49" s="491"/>
      <c r="J49" s="491"/>
      <c r="K49" s="491"/>
      <c r="L49" s="492" t="str">
        <f aca="true">IF(Build!AD661,OFFSET(Spells!AG$2,Build!AD661,0),"")</f>
        <v/>
      </c>
      <c r="M49" s="492"/>
      <c r="N49" s="492" t="str">
        <f aca="true">IF(Build!AD661,OFFSET(Spells!AH$2,Build!AD661,0),"")</f>
        <v/>
      </c>
      <c r="O49" s="492"/>
      <c r="P49" s="492" t="str">
        <f aca="true">IF(Build!AD661,OFFSET(Spells!AI$2,Build!AD661,0),"")</f>
        <v/>
      </c>
      <c r="Q49" s="492"/>
      <c r="R49" s="492" t="str">
        <f aca="true">IF(Build!AD661,OFFSET(Spells!AJ$2,Build!AD661,0),"")</f>
        <v/>
      </c>
      <c r="S49" s="492"/>
      <c r="T49" s="492" t="str">
        <f aca="true">IF(Build!AD661,OFFSET(Spells!AK$2,Build!AD661,0),"")</f>
        <v/>
      </c>
      <c r="U49" s="492"/>
      <c r="V49" s="492"/>
      <c r="W49" s="492" t="str">
        <f aca="true">IF(Build!AD661,OFFSET(Spells!AM$2,Build!AD661,0),"")</f>
        <v/>
      </c>
      <c r="X49" s="492"/>
      <c r="Y49" s="492"/>
      <c r="Z49" s="507" t="str">
        <f aca="false">Build!AJ661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IF(Build!AD661,OFFSET(Spells!AN$2,Build!AD661,0),"")</f>
        <v/>
      </c>
      <c r="AL49" s="508"/>
      <c r="AM49" s="508"/>
    </row>
    <row r="50" customFormat="false" ht="11.1" hidden="false" customHeight="true" outlineLevel="0" collapsed="false">
      <c r="A50" s="389"/>
      <c r="B50" s="389"/>
      <c r="C50" s="491" t="str">
        <f aca="true">IF(Build!AD662,OFFSET(Spells!AF$2,Build!AD662,0),"")</f>
        <v/>
      </c>
      <c r="D50" s="491"/>
      <c r="E50" s="491"/>
      <c r="F50" s="491"/>
      <c r="G50" s="491"/>
      <c r="H50" s="491"/>
      <c r="I50" s="491"/>
      <c r="J50" s="491"/>
      <c r="K50" s="491"/>
      <c r="L50" s="492" t="str">
        <f aca="true">IF(Build!AD662,OFFSET(Spells!AG$2,Build!AD662,0),"")</f>
        <v/>
      </c>
      <c r="M50" s="492"/>
      <c r="N50" s="492" t="str">
        <f aca="true">IF(Build!AD662,OFFSET(Spells!AH$2,Build!AD662,0),"")</f>
        <v/>
      </c>
      <c r="O50" s="492"/>
      <c r="P50" s="492" t="str">
        <f aca="true">IF(Build!AD662,OFFSET(Spells!AI$2,Build!AD662,0),"")</f>
        <v/>
      </c>
      <c r="Q50" s="492"/>
      <c r="R50" s="492" t="str">
        <f aca="true">IF(Build!AD662,OFFSET(Spells!AJ$2,Build!AD662,0),"")</f>
        <v/>
      </c>
      <c r="S50" s="492"/>
      <c r="T50" s="492" t="str">
        <f aca="true">IF(Build!AD662,OFFSET(Spells!AK$2,Build!AD662,0),"")</f>
        <v/>
      </c>
      <c r="U50" s="492"/>
      <c r="V50" s="492"/>
      <c r="W50" s="492" t="str">
        <f aca="true">IF(Build!AD662,OFFSET(Spells!AM$2,Build!AD662,0),"")</f>
        <v/>
      </c>
      <c r="X50" s="492"/>
      <c r="Y50" s="492"/>
      <c r="Z50" s="507" t="str">
        <f aca="false">Build!AJ662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IF(Build!AD662,OFFSET(Spells!AN$2,Build!AD662,0),"")</f>
        <v/>
      </c>
      <c r="AL50" s="508"/>
      <c r="AM50" s="508"/>
    </row>
    <row r="51" customFormat="false" ht="11.1" hidden="false" customHeight="true" outlineLevel="0" collapsed="false">
      <c r="A51" s="389"/>
      <c r="B51" s="389"/>
      <c r="C51" s="491" t="str">
        <f aca="true">IF(Build!AD663,OFFSET(Spells!AF$2,Build!AD663,0),"")</f>
        <v/>
      </c>
      <c r="D51" s="491"/>
      <c r="E51" s="491"/>
      <c r="F51" s="491"/>
      <c r="G51" s="491"/>
      <c r="H51" s="491"/>
      <c r="I51" s="491"/>
      <c r="J51" s="491"/>
      <c r="K51" s="491"/>
      <c r="L51" s="492" t="str">
        <f aca="true">IF(Build!AD663,OFFSET(Spells!AG$2,Build!AD663,0),"")</f>
        <v/>
      </c>
      <c r="M51" s="492"/>
      <c r="N51" s="492" t="str">
        <f aca="true">IF(Build!AD663,OFFSET(Spells!AH$2,Build!AD663,0),"")</f>
        <v/>
      </c>
      <c r="O51" s="492"/>
      <c r="P51" s="492" t="str">
        <f aca="true">IF(Build!AD663,OFFSET(Spells!AI$2,Build!AD663,0),"")</f>
        <v/>
      </c>
      <c r="Q51" s="492"/>
      <c r="R51" s="492" t="str">
        <f aca="true">IF(Build!AD663,OFFSET(Spells!AJ$2,Build!AD663,0),"")</f>
        <v/>
      </c>
      <c r="S51" s="492"/>
      <c r="T51" s="492" t="str">
        <f aca="true">IF(Build!AD663,OFFSET(Spells!AK$2,Build!AD663,0),"")</f>
        <v/>
      </c>
      <c r="U51" s="492"/>
      <c r="V51" s="492"/>
      <c r="W51" s="492" t="str">
        <f aca="true">IF(Build!AD663,OFFSET(Spells!AM$2,Build!AD663,0),"")</f>
        <v/>
      </c>
      <c r="X51" s="492"/>
      <c r="Y51" s="492"/>
      <c r="Z51" s="507" t="str">
        <f aca="false">Build!AJ663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IF(Build!AD663,OFFSET(Spells!AN$2,Build!AD663,0),"")</f>
        <v/>
      </c>
      <c r="AL51" s="508"/>
      <c r="AM51" s="508"/>
    </row>
    <row r="52" customFormat="false" ht="11.1" hidden="false" customHeight="true" outlineLevel="0" collapsed="false">
      <c r="A52" s="389"/>
      <c r="B52" s="389"/>
      <c r="C52" s="491" t="str">
        <f aca="true">IF(Build!AD664,OFFSET(Spells!AF$2,Build!AD664,0),"")</f>
        <v/>
      </c>
      <c r="D52" s="491"/>
      <c r="E52" s="491"/>
      <c r="F52" s="491"/>
      <c r="G52" s="491"/>
      <c r="H52" s="491"/>
      <c r="I52" s="491"/>
      <c r="J52" s="491"/>
      <c r="K52" s="491"/>
      <c r="L52" s="492" t="str">
        <f aca="true">IF(Build!AD664,OFFSET(Spells!AG$2,Build!AD664,0),"")</f>
        <v/>
      </c>
      <c r="M52" s="492"/>
      <c r="N52" s="492" t="str">
        <f aca="true">IF(Build!AD664,OFFSET(Spells!AH$2,Build!AD664,0),"")</f>
        <v/>
      </c>
      <c r="O52" s="492"/>
      <c r="P52" s="492" t="str">
        <f aca="true">IF(Build!AD664,OFFSET(Spells!AI$2,Build!AD664,0),"")</f>
        <v/>
      </c>
      <c r="Q52" s="492"/>
      <c r="R52" s="492" t="str">
        <f aca="true">IF(Build!AD664,OFFSET(Spells!AJ$2,Build!AD664,0),"")</f>
        <v/>
      </c>
      <c r="S52" s="492"/>
      <c r="T52" s="492" t="str">
        <f aca="true">IF(Build!AD664,OFFSET(Spells!AK$2,Build!AD664,0),"")</f>
        <v/>
      </c>
      <c r="U52" s="492"/>
      <c r="V52" s="492"/>
      <c r="W52" s="492" t="str">
        <f aca="true">IF(Build!AD664,OFFSET(Spells!AM$2,Build!AD664,0),"")</f>
        <v/>
      </c>
      <c r="X52" s="492"/>
      <c r="Y52" s="492"/>
      <c r="Z52" s="507" t="str">
        <f aca="false">Build!AJ664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IF(Build!AD664,OFFSET(Spells!AN$2,Build!AD664,0),"")</f>
        <v/>
      </c>
      <c r="AL52" s="508"/>
      <c r="AM52" s="508"/>
    </row>
    <row r="53" customFormat="false" ht="11.1" hidden="false" customHeight="true" outlineLevel="0" collapsed="false">
      <c r="A53" s="389"/>
      <c r="B53" s="389"/>
      <c r="C53" s="491" t="str">
        <f aca="true">IF(Build!AD665,OFFSET(Spells!AF$2,Build!AD665,0),"")</f>
        <v/>
      </c>
      <c r="D53" s="491"/>
      <c r="E53" s="491"/>
      <c r="F53" s="491"/>
      <c r="G53" s="491"/>
      <c r="H53" s="491"/>
      <c r="I53" s="491"/>
      <c r="J53" s="491"/>
      <c r="K53" s="491"/>
      <c r="L53" s="492" t="str">
        <f aca="true">IF(Build!AD665,OFFSET(Spells!AG$2,Build!AD665,0),"")</f>
        <v/>
      </c>
      <c r="M53" s="492"/>
      <c r="N53" s="492" t="str">
        <f aca="true">IF(Build!AD665,OFFSET(Spells!AH$2,Build!AD665,0),"")</f>
        <v/>
      </c>
      <c r="O53" s="492"/>
      <c r="P53" s="492" t="str">
        <f aca="true">IF(Build!AD665,OFFSET(Spells!AI$2,Build!AD665,0),"")</f>
        <v/>
      </c>
      <c r="Q53" s="492"/>
      <c r="R53" s="492" t="str">
        <f aca="true">IF(Build!AD665,OFFSET(Spells!AJ$2,Build!AD665,0),"")</f>
        <v/>
      </c>
      <c r="S53" s="492"/>
      <c r="T53" s="492" t="str">
        <f aca="true">IF(Build!AD665,OFFSET(Spells!AK$2,Build!AD665,0),"")</f>
        <v/>
      </c>
      <c r="U53" s="492"/>
      <c r="V53" s="492"/>
      <c r="W53" s="492" t="str">
        <f aca="true">IF(Build!AD665,OFFSET(Spells!AM$2,Build!AD665,0),"")</f>
        <v/>
      </c>
      <c r="X53" s="492"/>
      <c r="Y53" s="492"/>
      <c r="Z53" s="507" t="str">
        <f aca="false">Build!AJ665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IF(Build!AD665,OFFSET(Spells!AN$2,Build!AD665,0),"")</f>
        <v/>
      </c>
      <c r="AL53" s="508"/>
      <c r="AM53" s="508"/>
    </row>
    <row r="54" customFormat="false" ht="11.1" hidden="false" customHeight="true" outlineLevel="0" collapsed="false">
      <c r="A54" s="389"/>
      <c r="B54" s="389"/>
      <c r="C54" s="491" t="str">
        <f aca="true">IF(Build!AD666,OFFSET(Spells!AF$2,Build!AD666,0),"")</f>
        <v/>
      </c>
      <c r="D54" s="491"/>
      <c r="E54" s="491"/>
      <c r="F54" s="491"/>
      <c r="G54" s="491"/>
      <c r="H54" s="491"/>
      <c r="I54" s="491"/>
      <c r="J54" s="491"/>
      <c r="K54" s="491"/>
      <c r="L54" s="492" t="str">
        <f aca="true">IF(Build!AD666,OFFSET(Spells!AG$2,Build!AD666,0),"")</f>
        <v/>
      </c>
      <c r="M54" s="492"/>
      <c r="N54" s="492" t="str">
        <f aca="true">IF(Build!AD666,OFFSET(Spells!AH$2,Build!AD666,0),"")</f>
        <v/>
      </c>
      <c r="O54" s="492"/>
      <c r="P54" s="492" t="str">
        <f aca="true">IF(Build!AD666,OFFSET(Spells!AI$2,Build!AD666,0),"")</f>
        <v/>
      </c>
      <c r="Q54" s="492"/>
      <c r="R54" s="492" t="str">
        <f aca="true">IF(Build!AD666,OFFSET(Spells!AJ$2,Build!AD666,0),"")</f>
        <v/>
      </c>
      <c r="S54" s="492"/>
      <c r="T54" s="492" t="str">
        <f aca="true">IF(Build!AD666,OFFSET(Spells!AK$2,Build!AD666,0),"")</f>
        <v/>
      </c>
      <c r="U54" s="492"/>
      <c r="V54" s="492"/>
      <c r="W54" s="492" t="str">
        <f aca="true">IF(Build!AD666,OFFSET(Spells!AM$2,Build!AD666,0),"")</f>
        <v/>
      </c>
      <c r="X54" s="492"/>
      <c r="Y54" s="492"/>
      <c r="Z54" s="507" t="str">
        <f aca="false">Build!AJ666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IF(Build!AD666,OFFSET(Spells!AN$2,Build!AD666,0),"")</f>
        <v/>
      </c>
      <c r="AL54" s="508"/>
      <c r="AM54" s="508"/>
    </row>
    <row r="55" customFormat="false" ht="11.1" hidden="false" customHeight="true" outlineLevel="0" collapsed="false">
      <c r="A55" s="389"/>
      <c r="B55" s="389"/>
      <c r="C55" s="491" t="str">
        <f aca="true">IF(Build!AD667,OFFSET(Spells!AF$2,Build!AD667,0),"")</f>
        <v/>
      </c>
      <c r="D55" s="491"/>
      <c r="E55" s="491"/>
      <c r="F55" s="491"/>
      <c r="G55" s="491"/>
      <c r="H55" s="491"/>
      <c r="I55" s="491"/>
      <c r="J55" s="491"/>
      <c r="K55" s="491"/>
      <c r="L55" s="492" t="str">
        <f aca="true">IF(Build!AD667,OFFSET(Spells!AG$2,Build!AD667,0),"")</f>
        <v/>
      </c>
      <c r="M55" s="492"/>
      <c r="N55" s="492" t="str">
        <f aca="true">IF(Build!AD667,OFFSET(Spells!AH$2,Build!AD667,0),"")</f>
        <v/>
      </c>
      <c r="O55" s="492"/>
      <c r="P55" s="492" t="str">
        <f aca="true">IF(Build!AD667,OFFSET(Spells!AI$2,Build!AD667,0),"")</f>
        <v/>
      </c>
      <c r="Q55" s="492"/>
      <c r="R55" s="492" t="str">
        <f aca="true">IF(Build!AD667,OFFSET(Spells!AJ$2,Build!AD667,0),"")</f>
        <v/>
      </c>
      <c r="S55" s="492"/>
      <c r="T55" s="492" t="str">
        <f aca="true">IF(Build!AD667,OFFSET(Spells!AK$2,Build!AD667,0),"")</f>
        <v/>
      </c>
      <c r="U55" s="492"/>
      <c r="V55" s="492"/>
      <c r="W55" s="492" t="str">
        <f aca="true">IF(Build!AD667,OFFSET(Spells!AM$2,Build!AD667,0),"")</f>
        <v/>
      </c>
      <c r="X55" s="492"/>
      <c r="Y55" s="492"/>
      <c r="Z55" s="507" t="str">
        <f aca="false">Build!AJ667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IF(Build!AD667,OFFSET(Spells!AN$2,Build!AD667,0),"")</f>
        <v/>
      </c>
      <c r="AL55" s="508"/>
      <c r="AM55" s="508"/>
    </row>
    <row r="56" customFormat="false" ht="11.1" hidden="false" customHeight="true" outlineLevel="0" collapsed="false">
      <c r="A56" s="389"/>
      <c r="B56" s="389"/>
      <c r="C56" s="491" t="str">
        <f aca="true">IF(Build!AD668,OFFSET(Spells!AF$2,Build!AD668,0),"")</f>
        <v/>
      </c>
      <c r="D56" s="491"/>
      <c r="E56" s="491"/>
      <c r="F56" s="491"/>
      <c r="G56" s="491"/>
      <c r="H56" s="491"/>
      <c r="I56" s="491"/>
      <c r="J56" s="491"/>
      <c r="K56" s="491"/>
      <c r="L56" s="492" t="str">
        <f aca="true">IF(Build!AD668,OFFSET(Spells!AG$2,Build!AD668,0),"")</f>
        <v/>
      </c>
      <c r="M56" s="492"/>
      <c r="N56" s="492" t="str">
        <f aca="true">IF(Build!AD668,OFFSET(Spells!AH$2,Build!AD668,0),"")</f>
        <v/>
      </c>
      <c r="O56" s="492"/>
      <c r="P56" s="492" t="str">
        <f aca="true">IF(Build!AD668,OFFSET(Spells!AI$2,Build!AD668,0),"")</f>
        <v/>
      </c>
      <c r="Q56" s="492"/>
      <c r="R56" s="492" t="str">
        <f aca="true">IF(Build!AD668,OFFSET(Spells!AJ$2,Build!AD668,0),"")</f>
        <v/>
      </c>
      <c r="S56" s="492"/>
      <c r="T56" s="492" t="str">
        <f aca="true">IF(Build!AD668,OFFSET(Spells!AK$2,Build!AD668,0),"")</f>
        <v/>
      </c>
      <c r="U56" s="492"/>
      <c r="V56" s="492"/>
      <c r="W56" s="492" t="str">
        <f aca="true">IF(Build!AD668,OFFSET(Spells!AM$2,Build!AD668,0),"")</f>
        <v/>
      </c>
      <c r="X56" s="492"/>
      <c r="Y56" s="492"/>
      <c r="Z56" s="507" t="str">
        <f aca="false">Build!AJ668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IF(Build!AD668,OFFSET(Spells!AN$2,Build!AD668,0),"")</f>
        <v/>
      </c>
      <c r="AL56" s="508"/>
      <c r="AM56" s="508"/>
    </row>
    <row r="57" customFormat="false" ht="11.1" hidden="false" customHeight="true" outlineLevel="0" collapsed="false">
      <c r="A57" s="389"/>
      <c r="B57" s="389"/>
      <c r="C57" s="491" t="str">
        <f aca="true">IF(Build!AD669,OFFSET(Spells!AF$2,Build!AD669,0),"")</f>
        <v/>
      </c>
      <c r="D57" s="491"/>
      <c r="E57" s="491"/>
      <c r="F57" s="491"/>
      <c r="G57" s="491"/>
      <c r="H57" s="491"/>
      <c r="I57" s="491"/>
      <c r="J57" s="491"/>
      <c r="K57" s="491"/>
      <c r="L57" s="492" t="str">
        <f aca="true">IF(Build!AD669,OFFSET(Spells!AG$2,Build!AD669,0),"")</f>
        <v/>
      </c>
      <c r="M57" s="492"/>
      <c r="N57" s="492" t="str">
        <f aca="true">IF(Build!AD669,OFFSET(Spells!AH$2,Build!AD669,0),"")</f>
        <v/>
      </c>
      <c r="O57" s="492"/>
      <c r="P57" s="492" t="str">
        <f aca="true">IF(Build!AD669,OFFSET(Spells!AI$2,Build!AD669,0),"")</f>
        <v/>
      </c>
      <c r="Q57" s="492"/>
      <c r="R57" s="492" t="str">
        <f aca="true">IF(Build!AD669,OFFSET(Spells!AJ$2,Build!AD669,0),"")</f>
        <v/>
      </c>
      <c r="S57" s="492"/>
      <c r="T57" s="492" t="str">
        <f aca="true">IF(Build!AD669,OFFSET(Spells!AK$2,Build!AD669,0),"")</f>
        <v/>
      </c>
      <c r="U57" s="492"/>
      <c r="V57" s="492"/>
      <c r="W57" s="492" t="str">
        <f aca="true">IF(Build!AD669,OFFSET(Spells!AM$2,Build!AD669,0),"")</f>
        <v/>
      </c>
      <c r="X57" s="492"/>
      <c r="Y57" s="492"/>
      <c r="Z57" s="507" t="str">
        <f aca="false">Build!AJ669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IF(Build!AD669,OFFSET(Spells!AN$2,Build!AD669,0),"")</f>
        <v/>
      </c>
      <c r="AL57" s="508"/>
      <c r="AM57" s="508"/>
    </row>
    <row r="58" customFormat="false" ht="11.1" hidden="false" customHeight="true" outlineLevel="0" collapsed="false">
      <c r="A58" s="389"/>
      <c r="B58" s="389"/>
      <c r="C58" s="491" t="str">
        <f aca="true">IF(Build!AD670,OFFSET(Spells!AF$2,Build!AD670,0),"")</f>
        <v/>
      </c>
      <c r="D58" s="491"/>
      <c r="E58" s="491"/>
      <c r="F58" s="491"/>
      <c r="G58" s="491"/>
      <c r="H58" s="491"/>
      <c r="I58" s="491"/>
      <c r="J58" s="491"/>
      <c r="K58" s="491"/>
      <c r="L58" s="492" t="str">
        <f aca="true">IF(Build!AD670,OFFSET(Spells!AG$2,Build!AD670,0),"")</f>
        <v/>
      </c>
      <c r="M58" s="492"/>
      <c r="N58" s="492" t="str">
        <f aca="true">IF(Build!AD670,OFFSET(Spells!AH$2,Build!AD670,0),"")</f>
        <v/>
      </c>
      <c r="O58" s="492"/>
      <c r="P58" s="492" t="str">
        <f aca="true">IF(Build!AD670,OFFSET(Spells!AI$2,Build!AD670,0),"")</f>
        <v/>
      </c>
      <c r="Q58" s="492"/>
      <c r="R58" s="492" t="str">
        <f aca="true">IF(Build!AD670,OFFSET(Spells!AJ$2,Build!AD670,0),"")</f>
        <v/>
      </c>
      <c r="S58" s="492"/>
      <c r="T58" s="492" t="str">
        <f aca="true">IF(Build!AD670,OFFSET(Spells!AK$2,Build!AD670,0),"")</f>
        <v/>
      </c>
      <c r="U58" s="492"/>
      <c r="V58" s="492"/>
      <c r="W58" s="492" t="str">
        <f aca="true">IF(Build!AD670,OFFSET(Spells!AM$2,Build!AD670,0),"")</f>
        <v/>
      </c>
      <c r="X58" s="492"/>
      <c r="Y58" s="492"/>
      <c r="Z58" s="507" t="str">
        <f aca="false">Build!AJ670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IF(Build!AD670,OFFSET(Spells!AN$2,Build!AD670,0),"")</f>
        <v/>
      </c>
      <c r="AL58" s="508"/>
      <c r="AM58" s="508"/>
    </row>
    <row r="59" customFormat="false" ht="11.1" hidden="false" customHeight="true" outlineLevel="0" collapsed="false">
      <c r="A59" s="389"/>
      <c r="B59" s="389"/>
      <c r="C59" s="491" t="str">
        <f aca="true">IF(Build!AD671,OFFSET(Spells!AF$2,Build!AD671,0),"")</f>
        <v/>
      </c>
      <c r="D59" s="491"/>
      <c r="E59" s="491"/>
      <c r="F59" s="491"/>
      <c r="G59" s="491"/>
      <c r="H59" s="491"/>
      <c r="I59" s="491"/>
      <c r="J59" s="491"/>
      <c r="K59" s="491"/>
      <c r="L59" s="492" t="str">
        <f aca="true">IF(Build!AD671,OFFSET(Spells!AG$2,Build!AD671,0),"")</f>
        <v/>
      </c>
      <c r="M59" s="492"/>
      <c r="N59" s="492" t="str">
        <f aca="true">IF(Build!AD671,OFFSET(Spells!AH$2,Build!AD671,0),"")</f>
        <v/>
      </c>
      <c r="O59" s="492"/>
      <c r="P59" s="492" t="str">
        <f aca="true">IF(Build!AD671,OFFSET(Spells!AI$2,Build!AD671,0),"")</f>
        <v/>
      </c>
      <c r="Q59" s="492"/>
      <c r="R59" s="492" t="str">
        <f aca="true">IF(Build!AD671,OFFSET(Spells!AJ$2,Build!AD671,0),"")</f>
        <v/>
      </c>
      <c r="S59" s="492"/>
      <c r="T59" s="492" t="str">
        <f aca="true">IF(Build!AD671,OFFSET(Spells!AK$2,Build!AD671,0),"")</f>
        <v/>
      </c>
      <c r="U59" s="492"/>
      <c r="V59" s="492"/>
      <c r="W59" s="492" t="str">
        <f aca="true">IF(Build!AD671,OFFSET(Spells!AM$2,Build!AD671,0),"")</f>
        <v/>
      </c>
      <c r="X59" s="492"/>
      <c r="Y59" s="492"/>
      <c r="Z59" s="507" t="str">
        <f aca="false">Build!AJ671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IF(Build!AD671,OFFSET(Spells!AN$2,Build!AD671,0),"")</f>
        <v/>
      </c>
      <c r="AL59" s="508"/>
      <c r="AM59" s="508"/>
    </row>
    <row r="60" customFormat="false" ht="11.1" hidden="false" customHeight="true" outlineLevel="0" collapsed="false">
      <c r="A60" s="389"/>
      <c r="B60" s="389"/>
      <c r="C60" s="491" t="str">
        <f aca="true">IF(Build!AD672,OFFSET(Spells!AF$2,Build!AD672,0),"")</f>
        <v/>
      </c>
      <c r="D60" s="491"/>
      <c r="E60" s="491"/>
      <c r="F60" s="491"/>
      <c r="G60" s="491"/>
      <c r="H60" s="491"/>
      <c r="I60" s="491"/>
      <c r="J60" s="491"/>
      <c r="K60" s="491"/>
      <c r="L60" s="492" t="str">
        <f aca="true">IF(Build!AD672,OFFSET(Spells!AG$2,Build!AD672,0),"")</f>
        <v/>
      </c>
      <c r="M60" s="492"/>
      <c r="N60" s="492" t="str">
        <f aca="true">IF(Build!AD672,OFFSET(Spells!AH$2,Build!AD672,0),"")</f>
        <v/>
      </c>
      <c r="O60" s="492"/>
      <c r="P60" s="492" t="str">
        <f aca="true">IF(Build!AD672,OFFSET(Spells!AI$2,Build!AD672,0),"")</f>
        <v/>
      </c>
      <c r="Q60" s="492"/>
      <c r="R60" s="492" t="str">
        <f aca="true">IF(Build!AD672,OFFSET(Spells!AJ$2,Build!AD672,0),"")</f>
        <v/>
      </c>
      <c r="S60" s="492"/>
      <c r="T60" s="492" t="str">
        <f aca="true">IF(Build!AD672,OFFSET(Spells!AK$2,Build!AD672,0),"")</f>
        <v/>
      </c>
      <c r="U60" s="492"/>
      <c r="V60" s="492"/>
      <c r="W60" s="492" t="str">
        <f aca="true">IF(Build!AD672,OFFSET(Spells!AM$2,Build!AD672,0),"")</f>
        <v/>
      </c>
      <c r="X60" s="492"/>
      <c r="Y60" s="492"/>
      <c r="Z60" s="507" t="str">
        <f aca="false">Build!AJ672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IF(Build!AD672,OFFSET(Spells!AN$2,Build!AD672,0),"")</f>
        <v/>
      </c>
      <c r="AL60" s="508"/>
      <c r="AM60" s="508"/>
    </row>
    <row r="61" customFormat="false" ht="11.1" hidden="false" customHeight="true" outlineLevel="0" collapsed="false">
      <c r="A61" s="389"/>
      <c r="B61" s="389"/>
      <c r="C61" s="491" t="str">
        <f aca="true">IF(Build!AD673,OFFSET(Spells!AF$2,Build!AD673,0),"")</f>
        <v/>
      </c>
      <c r="D61" s="491"/>
      <c r="E61" s="491"/>
      <c r="F61" s="491"/>
      <c r="G61" s="491"/>
      <c r="H61" s="491"/>
      <c r="I61" s="491"/>
      <c r="J61" s="491"/>
      <c r="K61" s="491"/>
      <c r="L61" s="492" t="str">
        <f aca="true">IF(Build!AD673,OFFSET(Spells!AG$2,Build!AD673,0),"")</f>
        <v/>
      </c>
      <c r="M61" s="492"/>
      <c r="N61" s="492" t="str">
        <f aca="true">IF(Build!AD673,OFFSET(Spells!AH$2,Build!AD673,0),"")</f>
        <v/>
      </c>
      <c r="O61" s="492"/>
      <c r="P61" s="492" t="str">
        <f aca="true">IF(Build!AD673,OFFSET(Spells!AI$2,Build!AD673,0),"")</f>
        <v/>
      </c>
      <c r="Q61" s="492"/>
      <c r="R61" s="492" t="str">
        <f aca="true">IF(Build!AD673,OFFSET(Spells!AJ$2,Build!AD673,0),"")</f>
        <v/>
      </c>
      <c r="S61" s="492"/>
      <c r="T61" s="492" t="str">
        <f aca="true">IF(Build!AD673,OFFSET(Spells!AK$2,Build!AD673,0),"")</f>
        <v/>
      </c>
      <c r="U61" s="492"/>
      <c r="V61" s="492"/>
      <c r="W61" s="492" t="str">
        <f aca="true">IF(Build!AD673,OFFSET(Spells!AM$2,Build!AD673,0),"")</f>
        <v/>
      </c>
      <c r="X61" s="492"/>
      <c r="Y61" s="492"/>
      <c r="Z61" s="507" t="str">
        <f aca="false">Build!AJ673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IF(Build!AD673,OFFSET(Spells!AN$2,Build!AD673,0),"")</f>
        <v/>
      </c>
      <c r="AL61" s="508"/>
      <c r="AM61" s="508"/>
    </row>
    <row r="62" customFormat="false" ht="11.1" hidden="false" customHeight="true" outlineLevel="0" collapsed="false">
      <c r="A62" s="389"/>
      <c r="B62" s="389"/>
      <c r="C62" s="491" t="str">
        <f aca="true">IF(Build!AD674,OFFSET(Spells!AF$2,Build!AD674,0),"")</f>
        <v/>
      </c>
      <c r="D62" s="491"/>
      <c r="E62" s="491"/>
      <c r="F62" s="491"/>
      <c r="G62" s="491"/>
      <c r="H62" s="491"/>
      <c r="I62" s="491"/>
      <c r="J62" s="491"/>
      <c r="K62" s="491"/>
      <c r="L62" s="492" t="str">
        <f aca="true">IF(Build!AD674,OFFSET(Spells!AG$2,Build!AD674,0),"")</f>
        <v/>
      </c>
      <c r="M62" s="492"/>
      <c r="N62" s="492" t="str">
        <f aca="true">IF(Build!AD674,OFFSET(Spells!AH$2,Build!AD674,0),"")</f>
        <v/>
      </c>
      <c r="O62" s="492"/>
      <c r="P62" s="492" t="str">
        <f aca="true">IF(Build!AD674,OFFSET(Spells!AI$2,Build!AD674,0),"")</f>
        <v/>
      </c>
      <c r="Q62" s="492"/>
      <c r="R62" s="492" t="str">
        <f aca="true">IF(Build!AD674,OFFSET(Spells!AJ$2,Build!AD674,0),"")</f>
        <v/>
      </c>
      <c r="S62" s="492"/>
      <c r="T62" s="492" t="str">
        <f aca="true">IF(Build!AD674,OFFSET(Spells!AK$2,Build!AD674,0),"")</f>
        <v/>
      </c>
      <c r="U62" s="492"/>
      <c r="V62" s="492"/>
      <c r="W62" s="492" t="str">
        <f aca="true">IF(Build!AD674,OFFSET(Spells!AM$2,Build!AD674,0),"")</f>
        <v/>
      </c>
      <c r="X62" s="492"/>
      <c r="Y62" s="492"/>
      <c r="Z62" s="507" t="str">
        <f aca="false">Build!AJ674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IF(Build!AD674,OFFSET(Spells!AN$2,Build!AD674,0),"")</f>
        <v/>
      </c>
      <c r="AL62" s="508"/>
      <c r="AM62" s="508"/>
    </row>
    <row r="63" customFormat="false" ht="11.1" hidden="false" customHeight="true" outlineLevel="0" collapsed="false">
      <c r="A63" s="389"/>
      <c r="B63" s="389"/>
      <c r="C63" s="491" t="str">
        <f aca="true">IF(Build!AD675,OFFSET(Spells!AF$2,Build!AD675,0),"")</f>
        <v/>
      </c>
      <c r="D63" s="491"/>
      <c r="E63" s="491"/>
      <c r="F63" s="491"/>
      <c r="G63" s="491"/>
      <c r="H63" s="491"/>
      <c r="I63" s="491"/>
      <c r="J63" s="491"/>
      <c r="K63" s="491"/>
      <c r="L63" s="492" t="str">
        <f aca="true">IF(Build!AD675,OFFSET(Spells!AG$2,Build!AD675,0),"")</f>
        <v/>
      </c>
      <c r="M63" s="492"/>
      <c r="N63" s="492" t="str">
        <f aca="true">IF(Build!AD675,OFFSET(Spells!AH$2,Build!AD675,0),"")</f>
        <v/>
      </c>
      <c r="O63" s="492"/>
      <c r="P63" s="492" t="str">
        <f aca="true">IF(Build!AD675,OFFSET(Spells!AI$2,Build!AD675,0),"")</f>
        <v/>
      </c>
      <c r="Q63" s="492"/>
      <c r="R63" s="492" t="str">
        <f aca="true">IF(Build!AD675,OFFSET(Spells!AJ$2,Build!AD675,0),"")</f>
        <v/>
      </c>
      <c r="S63" s="492"/>
      <c r="T63" s="492" t="str">
        <f aca="true">IF(Build!AD675,OFFSET(Spells!AK$2,Build!AD675,0),"")</f>
        <v/>
      </c>
      <c r="U63" s="492"/>
      <c r="V63" s="492"/>
      <c r="W63" s="492" t="str">
        <f aca="true">IF(Build!AD675,OFFSET(Spells!AM$2,Build!AD675,0),"")</f>
        <v/>
      </c>
      <c r="X63" s="492"/>
      <c r="Y63" s="492"/>
      <c r="Z63" s="507" t="str">
        <f aca="false">Build!AJ675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IF(Build!AD675,OFFSET(Spells!AN$2,Build!AD675,0),"")</f>
        <v/>
      </c>
      <c r="AL63" s="508"/>
      <c r="AM63" s="508"/>
    </row>
    <row r="64" customFormat="false" ht="11.1" hidden="false" customHeight="true" outlineLevel="0" collapsed="false">
      <c r="A64" s="389"/>
      <c r="B64" s="389"/>
      <c r="C64" s="491" t="str">
        <f aca="true">IF(Build!AD676,OFFSET(Spells!AF$2,Build!AD676,0),"")</f>
        <v/>
      </c>
      <c r="D64" s="491"/>
      <c r="E64" s="491"/>
      <c r="F64" s="491"/>
      <c r="G64" s="491"/>
      <c r="H64" s="491"/>
      <c r="I64" s="491"/>
      <c r="J64" s="491"/>
      <c r="K64" s="491"/>
      <c r="L64" s="492" t="str">
        <f aca="true">IF(Build!AD676,OFFSET(Spells!AG$2,Build!AD676,0),"")</f>
        <v/>
      </c>
      <c r="M64" s="492"/>
      <c r="N64" s="492" t="str">
        <f aca="true">IF(Build!AD676,OFFSET(Spells!AH$2,Build!AD676,0),"")</f>
        <v/>
      </c>
      <c r="O64" s="492"/>
      <c r="P64" s="492" t="str">
        <f aca="true">IF(Build!AD676,OFFSET(Spells!AI$2,Build!AD676,0),"")</f>
        <v/>
      </c>
      <c r="Q64" s="492"/>
      <c r="R64" s="492" t="str">
        <f aca="true">IF(Build!AD676,OFFSET(Spells!AJ$2,Build!AD676,0),"")</f>
        <v/>
      </c>
      <c r="S64" s="492"/>
      <c r="T64" s="492" t="str">
        <f aca="true">IF(Build!AD676,OFFSET(Spells!AK$2,Build!AD676,0),"")</f>
        <v/>
      </c>
      <c r="U64" s="492"/>
      <c r="V64" s="492"/>
      <c r="W64" s="492" t="str">
        <f aca="true">IF(Build!AD676,OFFSET(Spells!AM$2,Build!AD676,0),"")</f>
        <v/>
      </c>
      <c r="X64" s="492"/>
      <c r="Y64" s="492"/>
      <c r="Z64" s="507" t="str">
        <f aca="false">Build!AJ676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IF(Build!AD676,OFFSET(Spells!AN$2,Build!AD676,0),"")</f>
        <v/>
      </c>
      <c r="AL64" s="508"/>
      <c r="AM64" s="508"/>
    </row>
    <row r="65" customFormat="false" ht="11.1" hidden="false" customHeight="true" outlineLevel="0" collapsed="false">
      <c r="A65" s="389"/>
      <c r="B65" s="389"/>
      <c r="C65" s="491" t="str">
        <f aca="true">IF(Build!AD677,OFFSET(Spells!AF$2,Build!AD677,0),"")</f>
        <v/>
      </c>
      <c r="D65" s="491"/>
      <c r="E65" s="491"/>
      <c r="F65" s="491"/>
      <c r="G65" s="491"/>
      <c r="H65" s="491"/>
      <c r="I65" s="491"/>
      <c r="J65" s="491"/>
      <c r="K65" s="491"/>
      <c r="L65" s="492" t="str">
        <f aca="true">IF(Build!AD677,OFFSET(Spells!AG$2,Build!AD677,0),"")</f>
        <v/>
      </c>
      <c r="M65" s="492"/>
      <c r="N65" s="492" t="str">
        <f aca="true">IF(Build!AD677,OFFSET(Spells!AH$2,Build!AD677,0),"")</f>
        <v/>
      </c>
      <c r="O65" s="492"/>
      <c r="P65" s="492" t="str">
        <f aca="true">IF(Build!AD677,OFFSET(Spells!AI$2,Build!AD677,0),"")</f>
        <v/>
      </c>
      <c r="Q65" s="492"/>
      <c r="R65" s="492" t="str">
        <f aca="true">IF(Build!AD677,OFFSET(Spells!AJ$2,Build!AD677,0),"")</f>
        <v/>
      </c>
      <c r="S65" s="492"/>
      <c r="T65" s="492" t="str">
        <f aca="true">IF(Build!AD677,OFFSET(Spells!AK$2,Build!AD677,0),"")</f>
        <v/>
      </c>
      <c r="U65" s="492"/>
      <c r="V65" s="492"/>
      <c r="W65" s="492" t="str">
        <f aca="true">IF(Build!AD677,OFFSET(Spells!AM$2,Build!AD677,0),"")</f>
        <v/>
      </c>
      <c r="X65" s="492"/>
      <c r="Y65" s="492"/>
      <c r="Z65" s="507" t="str">
        <f aca="false">Build!AJ677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IF(Build!AD677,OFFSET(Spells!AN$2,Build!AD677,0),"")</f>
        <v/>
      </c>
      <c r="AL65" s="508"/>
      <c r="AM65" s="508"/>
    </row>
    <row r="66" customFormat="false" ht="11.1" hidden="false" customHeight="true" outlineLevel="0" collapsed="false">
      <c r="A66" s="389"/>
      <c r="B66" s="389"/>
      <c r="C66" s="515" t="str">
        <f aca="true">IF(Build!AD678,OFFSET(Spells!AF$2,Build!AD678,0),"")</f>
        <v/>
      </c>
      <c r="D66" s="515"/>
      <c r="E66" s="515"/>
      <c r="F66" s="515"/>
      <c r="G66" s="515"/>
      <c r="H66" s="515"/>
      <c r="I66" s="515"/>
      <c r="J66" s="515"/>
      <c r="K66" s="515"/>
      <c r="L66" s="354" t="str">
        <f aca="true">IF(Build!AD678,OFFSET(Spells!AG$2,Build!AD678,0),"")</f>
        <v/>
      </c>
      <c r="M66" s="354"/>
      <c r="N66" s="354" t="str">
        <f aca="true">IF(Build!AD678,OFFSET(Spells!AH$2,Build!AD678,0),"")</f>
        <v/>
      </c>
      <c r="O66" s="354"/>
      <c r="P66" s="354" t="str">
        <f aca="true">IF(Build!AD678,OFFSET(Spells!AI$2,Build!AD678,0),"")</f>
        <v/>
      </c>
      <c r="Q66" s="354"/>
      <c r="R66" s="354" t="str">
        <f aca="true">IF(Build!AD678,OFFSET(Spells!AJ$2,Build!AD678,0),"")</f>
        <v/>
      </c>
      <c r="S66" s="354"/>
      <c r="T66" s="354" t="str">
        <f aca="true">IF(Build!AD678,OFFSET(Spells!AK$2,Build!AD678,0),"")</f>
        <v/>
      </c>
      <c r="U66" s="354"/>
      <c r="V66" s="354"/>
      <c r="W66" s="354" t="str">
        <f aca="true">IF(Build!AD678,OFFSET(Spells!AM$2,Build!AD678,0),"")</f>
        <v/>
      </c>
      <c r="X66" s="354"/>
      <c r="Y66" s="354"/>
      <c r="Z66" s="507" t="str">
        <f aca="false">Build!AJ678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IF(Build!AD678,OFFSET(Spells!AN$2,Build!AD678,0),"")</f>
        <v/>
      </c>
      <c r="AL66" s="508"/>
      <c r="AM66" s="508"/>
    </row>
    <row r="67" customFormat="false" ht="11.1" hidden="false" customHeight="true" outlineLevel="0" collapsed="false">
      <c r="A67" s="520"/>
      <c r="B67" s="520"/>
      <c r="C67" s="491" t="str">
        <f aca="true">IF(Build!AD679,OFFSET(Spells!AF$2,Build!AD679,0),"")</f>
        <v/>
      </c>
      <c r="D67" s="491"/>
      <c r="E67" s="491"/>
      <c r="F67" s="491"/>
      <c r="G67" s="491"/>
      <c r="H67" s="491"/>
      <c r="I67" s="491"/>
      <c r="J67" s="491"/>
      <c r="K67" s="491"/>
      <c r="L67" s="492" t="str">
        <f aca="true">IF(Build!AD679,OFFSET(Spells!AG$2,Build!AD679,0),"")</f>
        <v/>
      </c>
      <c r="M67" s="492"/>
      <c r="N67" s="492" t="str">
        <f aca="true">IF(Build!AD679,OFFSET(Spells!AH$2,Build!AD679,0),"")</f>
        <v/>
      </c>
      <c r="O67" s="492"/>
      <c r="P67" s="492" t="str">
        <f aca="true">IF(Build!AD679,OFFSET(Spells!AI$2,Build!AD679,0),"")</f>
        <v/>
      </c>
      <c r="Q67" s="492"/>
      <c r="R67" s="492" t="str">
        <f aca="true">IF(Build!AD679,OFFSET(Spells!AJ$2,Build!AD679,0),"")</f>
        <v/>
      </c>
      <c r="S67" s="492"/>
      <c r="T67" s="492" t="str">
        <f aca="true">IF(Build!AD679,OFFSET(Spells!AK$2,Build!AD679,0),"")</f>
        <v/>
      </c>
      <c r="U67" s="492"/>
      <c r="V67" s="492"/>
      <c r="W67" s="492" t="str">
        <f aca="true">IF(Build!AD679,OFFSET(Spells!AM$2,Build!AD679,0),"")</f>
        <v/>
      </c>
      <c r="X67" s="492"/>
      <c r="Y67" s="492"/>
      <c r="Z67" s="507" t="str">
        <f aca="false">Build!AJ679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508" t="str">
        <f aca="true">IF(Build!AD679,OFFSET(Spells!AN$2,Build!AD679,0),"")</f>
        <v/>
      </c>
      <c r="AL67" s="508"/>
      <c r="AM67" s="508"/>
    </row>
    <row r="68" customFormat="false" ht="11.1" hidden="false" customHeight="true" outlineLevel="0" collapsed="false">
      <c r="A68" s="498"/>
      <c r="B68" s="498"/>
      <c r="C68" s="499" t="str">
        <f aca="true">IF(Build!AD680,OFFSET(Spells!AF$2,Build!AD680,0),"")</f>
        <v/>
      </c>
      <c r="D68" s="499"/>
      <c r="E68" s="499"/>
      <c r="F68" s="499"/>
      <c r="G68" s="499"/>
      <c r="H68" s="499"/>
      <c r="I68" s="499"/>
      <c r="J68" s="499"/>
      <c r="K68" s="499"/>
      <c r="L68" s="500" t="str">
        <f aca="true">IF(Build!AD680,OFFSET(Spells!AG$2,Build!AD680,0),"")</f>
        <v/>
      </c>
      <c r="M68" s="500"/>
      <c r="N68" s="500" t="str">
        <f aca="true">IF(Build!AD680,OFFSET(Spells!AH$2,Build!AD680,0),"")</f>
        <v/>
      </c>
      <c r="O68" s="500"/>
      <c r="P68" s="500" t="str">
        <f aca="true">IF(Build!AD680,OFFSET(Spells!AI$2,Build!AD680,0),"")</f>
        <v/>
      </c>
      <c r="Q68" s="500"/>
      <c r="R68" s="500" t="str">
        <f aca="true">IF(Build!AD680,OFFSET(Spells!AJ$2,Build!AD680,0),"")</f>
        <v/>
      </c>
      <c r="S68" s="500"/>
      <c r="T68" s="500" t="str">
        <f aca="true">IF(Build!AD680,OFFSET(Spells!AK$2,Build!AD680,0),"")</f>
        <v/>
      </c>
      <c r="U68" s="500"/>
      <c r="V68" s="500"/>
      <c r="W68" s="500" t="str">
        <f aca="true">IF(Build!AD680,OFFSET(Spells!AM$2,Build!AD680,0),"")</f>
        <v/>
      </c>
      <c r="X68" s="500"/>
      <c r="Y68" s="500"/>
      <c r="Z68" s="507" t="str">
        <f aca="false">Build!AJ680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IF(Build!AD680,OFFSET(Spells!AN$2,Build!AD680,0),"")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110</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1999-09-15T14:47:43Z</dcterms:created>
  <dc:creator>Filon</dc:creator>
  <dc:description/>
  <dc:language>pl-PL</dc:language>
  <cp:lastModifiedBy/>
  <cp:lastPrinted>2014-10-10T13:24:16Z</cp:lastPrinted>
  <dcterms:modified xsi:type="dcterms:W3CDTF">2019-02-07T14:17:19Z</dcterms:modified>
  <cp:revision>37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